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gif" ContentType="image/gif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omments7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315" windowHeight="6720" tabRatio="819"/>
  </bookViews>
  <sheets>
    <sheet name="Uvod" sheetId="2" r:id="rId1"/>
    <sheet name="Rezime" sheetId="4" r:id="rId2"/>
    <sheet name="Inputi" sheetId="7" r:id="rId3"/>
    <sheet name="1.Kukuruz" sheetId="3" r:id="rId4"/>
    <sheet name="2.Pšenica" sheetId="8" r:id="rId5"/>
    <sheet name="3.Soja" sheetId="9" r:id="rId6"/>
    <sheet name="4.Suncokret" sheetId="10" r:id="rId7"/>
    <sheet name="5.Uljana repica" sheetId="19" r:id="rId8"/>
    <sheet name="6.Š.Repa" sheetId="11" r:id="rId9"/>
    <sheet name="7.Ječam" sheetId="18" r:id="rId10"/>
    <sheet name="8.Krompir" sheetId="12" r:id="rId11"/>
    <sheet name="9.Lucerka" sheetId="1" r:id="rId12"/>
    <sheet name="10.Tov svinja" sheetId="13" r:id="rId13"/>
    <sheet name="11.Mleko" sheetId="15" r:id="rId14"/>
    <sheet name="12.Tov pilića" sheetId="17" r:id="rId15"/>
  </sheets>
  <definedNames>
    <definedName name="_ftn1" localSheetId="0">Uvod!$C$132</definedName>
    <definedName name="_ftnref1" localSheetId="0">Uvod!$C$123</definedName>
    <definedName name="_xlnm.Print_Area" localSheetId="3">'1.Kukuruz'!$A$1:$J$103</definedName>
    <definedName name="_xlnm.Print_Area" localSheetId="12">'10.Tov svinja'!$A$1:$L$102</definedName>
    <definedName name="_xlnm.Print_Area" localSheetId="13">'11.Mleko'!$A$1:$L$112</definedName>
    <definedName name="_xlnm.Print_Area" localSheetId="14">'12.Tov pilića'!$A$1:$L$101</definedName>
    <definedName name="_xlnm.Print_Area" localSheetId="4">'2.Pšenica'!$A$1:$J$102</definedName>
    <definedName name="_xlnm.Print_Area" localSheetId="5">'3.Soja'!$A$1:$J$102</definedName>
    <definedName name="_xlnm.Print_Area" localSheetId="6">'4.Suncokret'!$A$1:$J$102</definedName>
    <definedName name="_xlnm.Print_Area" localSheetId="7">'5.Uljana repica'!$A$1:$J$102</definedName>
    <definedName name="_xlnm.Print_Area" localSheetId="8">'6.Š.Repa'!$A$1:$J$105</definedName>
    <definedName name="_xlnm.Print_Area" localSheetId="9">'7.Ječam'!$A$1:$J$102</definedName>
    <definedName name="_xlnm.Print_Area" localSheetId="10">'8.Krompir'!$A$1:$J$102</definedName>
    <definedName name="_xlnm.Print_Area" localSheetId="11">'9.Lucerka'!$A$1:$I$105</definedName>
    <definedName name="_xlnm.Print_Area" localSheetId="2">Inputi!#REF!</definedName>
    <definedName name="_xlnm.Print_Area" localSheetId="0">Uvod!$A$1:$J$114</definedName>
  </definedNames>
  <calcPr calcId="124519"/>
</workbook>
</file>

<file path=xl/calcChain.xml><?xml version="1.0" encoding="utf-8"?>
<calcChain xmlns="http://schemas.openxmlformats.org/spreadsheetml/2006/main">
  <c r="F9" i="8"/>
  <c r="F13" i="4"/>
  <c r="E13"/>
  <c r="G34" i="1"/>
  <c r="G35"/>
  <c r="H31" i="12"/>
  <c r="H31" i="18"/>
  <c r="H34" i="11"/>
  <c r="H31" i="19"/>
  <c r="H31" i="10"/>
  <c r="H31" i="8"/>
  <c r="H31" i="3"/>
  <c r="E12" i="4"/>
  <c r="D13"/>
  <c r="D12" l="1"/>
  <c r="E11"/>
  <c r="D11"/>
  <c r="E9"/>
  <c r="D9"/>
  <c r="R4" i="11" l="1"/>
  <c r="Q4"/>
  <c r="P4"/>
  <c r="CV213" i="1"/>
  <c r="CU213"/>
  <c r="CT213"/>
  <c r="CO214"/>
  <c r="CK213"/>
  <c r="CJ213"/>
  <c r="CI213"/>
  <c r="CD214"/>
  <c r="CD216"/>
  <c r="E11"/>
  <c r="CQ212"/>
  <c r="CR212"/>
  <c r="CS212"/>
  <c r="CR211"/>
  <c r="CS211"/>
  <c r="CQ211"/>
  <c r="CF212"/>
  <c r="CG212"/>
  <c r="CH212"/>
  <c r="CG211"/>
  <c r="CH211"/>
  <c r="CK211" s="1"/>
  <c r="CF211"/>
  <c r="CO213"/>
  <c r="CN207"/>
  <c r="CO207"/>
  <c r="CN208"/>
  <c r="CO208"/>
  <c r="CN209"/>
  <c r="CO209"/>
  <c r="CN210"/>
  <c r="CO210"/>
  <c r="CN211"/>
  <c r="CO211"/>
  <c r="CN212"/>
  <c r="CO212"/>
  <c r="CO206"/>
  <c r="CN206"/>
  <c r="CD213"/>
  <c r="CD207"/>
  <c r="CD208"/>
  <c r="CD209"/>
  <c r="CD210"/>
  <c r="CD211"/>
  <c r="CD212"/>
  <c r="CD206"/>
  <c r="CC207"/>
  <c r="CR207" s="1"/>
  <c r="CC208"/>
  <c r="CC209"/>
  <c r="CQ209" s="1"/>
  <c r="CC210"/>
  <c r="CC211"/>
  <c r="CC212"/>
  <c r="CC206"/>
  <c r="CQ206" s="1"/>
  <c r="CR208"/>
  <c r="CF210"/>
  <c r="CI218"/>
  <c r="CJ211"/>
  <c r="CF209"/>
  <c r="CQ208"/>
  <c r="CF208"/>
  <c r="CD216" i="12"/>
  <c r="CI218" s="1"/>
  <c r="P4" s="1"/>
  <c r="CO214"/>
  <c r="CD214"/>
  <c r="CO213"/>
  <c r="CU213" s="1"/>
  <c r="CD213"/>
  <c r="CJ213" s="1"/>
  <c r="CS212"/>
  <c r="CR212"/>
  <c r="CU212" s="1"/>
  <c r="CQ212"/>
  <c r="CO212"/>
  <c r="CN212"/>
  <c r="CH212"/>
  <c r="CG212"/>
  <c r="CJ212" s="1"/>
  <c r="CF212"/>
  <c r="CD212"/>
  <c r="CC212"/>
  <c r="CU211"/>
  <c r="CS211"/>
  <c r="CR211"/>
  <c r="CQ211"/>
  <c r="CO211"/>
  <c r="CN211"/>
  <c r="CH211"/>
  <c r="CG211"/>
  <c r="CJ211" s="1"/>
  <c r="CF211"/>
  <c r="CD21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CD216" i="18"/>
  <c r="CI218" s="1"/>
  <c r="P4" s="1"/>
  <c r="CO214"/>
  <c r="CD214"/>
  <c r="CO213"/>
  <c r="CU213" s="1"/>
  <c r="CD213"/>
  <c r="CJ213" s="1"/>
  <c r="CS212"/>
  <c r="CR212"/>
  <c r="CU212" s="1"/>
  <c r="CQ212"/>
  <c r="CO212"/>
  <c r="CN212"/>
  <c r="CH212"/>
  <c r="CG212"/>
  <c r="CJ212" s="1"/>
  <c r="CF212"/>
  <c r="CD212"/>
  <c r="CC212"/>
  <c r="CU211"/>
  <c r="CS211"/>
  <c r="CR211"/>
  <c r="CQ211"/>
  <c r="CO211"/>
  <c r="CN211"/>
  <c r="CH211"/>
  <c r="CG211"/>
  <c r="CJ211" s="1"/>
  <c r="CF211"/>
  <c r="CD21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CD216" i="11"/>
  <c r="CI218" s="1"/>
  <c r="CO214"/>
  <c r="CD214"/>
  <c r="CO213"/>
  <c r="CU213" s="1"/>
  <c r="CD213"/>
  <c r="CJ213" s="1"/>
  <c r="CS212"/>
  <c r="CR212"/>
  <c r="CU212" s="1"/>
  <c r="CQ212"/>
  <c r="CO212"/>
  <c r="CN212"/>
  <c r="CJ212"/>
  <c r="CH212"/>
  <c r="CG212"/>
  <c r="CF212"/>
  <c r="CD212"/>
  <c r="CC212"/>
  <c r="CS211"/>
  <c r="CR211"/>
  <c r="CQ211"/>
  <c r="CO211"/>
  <c r="CV211" s="1"/>
  <c r="CN211"/>
  <c r="CH211"/>
  <c r="CG211"/>
  <c r="CF211"/>
  <c r="CD211"/>
  <c r="CK211" s="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CD216" i="19"/>
  <c r="CI218" s="1"/>
  <c r="P4" s="1"/>
  <c r="CO214"/>
  <c r="CV213" s="1"/>
  <c r="CD214"/>
  <c r="CT213"/>
  <c r="CO213"/>
  <c r="CK213"/>
  <c r="CI213"/>
  <c r="CD213"/>
  <c r="CJ213" s="1"/>
  <c r="CS212"/>
  <c r="CR212"/>
  <c r="CQ212"/>
  <c r="CO212"/>
  <c r="CN212"/>
  <c r="CH212"/>
  <c r="CG212"/>
  <c r="CF212"/>
  <c r="CD212"/>
  <c r="CC212"/>
  <c r="CS211"/>
  <c r="CR211"/>
  <c r="CQ211"/>
  <c r="CO211"/>
  <c r="CN211"/>
  <c r="CH211"/>
  <c r="CG211"/>
  <c r="CF211"/>
  <c r="CD211"/>
  <c r="CC211"/>
  <c r="CR210"/>
  <c r="CO210"/>
  <c r="CU210" s="1"/>
  <c r="CN210"/>
  <c r="CG210"/>
  <c r="CD210"/>
  <c r="CJ210" s="1"/>
  <c r="CC210"/>
  <c r="CQ210" s="1"/>
  <c r="CR209"/>
  <c r="CO209"/>
  <c r="CU209" s="1"/>
  <c r="CN209"/>
  <c r="CG209"/>
  <c r="CD209"/>
  <c r="CJ209" s="1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J16" i="12"/>
  <c r="J17"/>
  <c r="J18"/>
  <c r="J19"/>
  <c r="J20"/>
  <c r="J21"/>
  <c r="CD216" i="10"/>
  <c r="CI218" s="1"/>
  <c r="P4" s="1"/>
  <c r="CO214"/>
  <c r="CD214"/>
  <c r="CO213"/>
  <c r="CU213" s="1"/>
  <c r="CD213"/>
  <c r="CJ213" s="1"/>
  <c r="CS212"/>
  <c r="CR212"/>
  <c r="CQ212"/>
  <c r="CO212"/>
  <c r="CN212"/>
  <c r="CH212"/>
  <c r="CG212"/>
  <c r="CF212"/>
  <c r="CD212"/>
  <c r="CC212"/>
  <c r="CS211"/>
  <c r="CR211"/>
  <c r="CQ211"/>
  <c r="CO211"/>
  <c r="CN211"/>
  <c r="CH211"/>
  <c r="CG211"/>
  <c r="CF211"/>
  <c r="CD21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I18" i="1"/>
  <c r="I19"/>
  <c r="I20"/>
  <c r="I21"/>
  <c r="I22"/>
  <c r="I23"/>
  <c r="I24"/>
  <c r="J15" i="18"/>
  <c r="J16"/>
  <c r="J17"/>
  <c r="CD216" i="8"/>
  <c r="CI218" s="1"/>
  <c r="P4" s="1"/>
  <c r="CO214"/>
  <c r="CD214"/>
  <c r="CO213"/>
  <c r="CD213"/>
  <c r="CS212"/>
  <c r="CR212"/>
  <c r="CU212" s="1"/>
  <c r="CQ212"/>
  <c r="CO212"/>
  <c r="CN212"/>
  <c r="CJ212"/>
  <c r="CH212"/>
  <c r="CG212"/>
  <c r="CF212"/>
  <c r="CD212"/>
  <c r="CC212"/>
  <c r="CS211"/>
  <c r="CR211"/>
  <c r="CQ211"/>
  <c r="CO211"/>
  <c r="CN211"/>
  <c r="CH211"/>
  <c r="CG211"/>
  <c r="CF211"/>
  <c r="CD211"/>
  <c r="CJ211" s="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F206" s="1"/>
  <c r="J16" i="11"/>
  <c r="J17"/>
  <c r="J18"/>
  <c r="J19"/>
  <c r="J20"/>
  <c r="J21"/>
  <c r="J16" i="19"/>
  <c r="J17"/>
  <c r="J18"/>
  <c r="J19"/>
  <c r="J16" i="10"/>
  <c r="J17"/>
  <c r="J18"/>
  <c r="J19"/>
  <c r="J17" i="8"/>
  <c r="J18"/>
  <c r="J19"/>
  <c r="J20"/>
  <c r="J21"/>
  <c r="J14" i="12"/>
  <c r="J14" i="18"/>
  <c r="J14" i="11"/>
  <c r="J14" i="19"/>
  <c r="J14" i="10"/>
  <c r="J14" i="8"/>
  <c r="J14" i="3"/>
  <c r="CD216"/>
  <c r="CI218" s="1"/>
  <c r="P4" s="1"/>
  <c r="CO214"/>
  <c r="CD214"/>
  <c r="CO213"/>
  <c r="CD213"/>
  <c r="CS212"/>
  <c r="CR212"/>
  <c r="CQ212"/>
  <c r="CO212"/>
  <c r="CN212"/>
  <c r="CH212"/>
  <c r="CG212"/>
  <c r="CF212"/>
  <c r="CD212"/>
  <c r="CC212"/>
  <c r="CS211"/>
  <c r="CR211"/>
  <c r="CQ211"/>
  <c r="CO211"/>
  <c r="CN211"/>
  <c r="CH211"/>
  <c r="CG211"/>
  <c r="CF211"/>
  <c r="CD211"/>
  <c r="CC211"/>
  <c r="CO210"/>
  <c r="CN210"/>
  <c r="CD210"/>
  <c r="CC210"/>
  <c r="CQ210" s="1"/>
  <c r="CO209"/>
  <c r="CN209"/>
  <c r="CD209"/>
  <c r="CC209"/>
  <c r="CQ209" s="1"/>
  <c r="CO208"/>
  <c r="CN208"/>
  <c r="CD208"/>
  <c r="CC208"/>
  <c r="CQ208" s="1"/>
  <c r="CO207"/>
  <c r="CN207"/>
  <c r="CD207"/>
  <c r="CC207"/>
  <c r="CQ207" s="1"/>
  <c r="CO206"/>
  <c r="CN206"/>
  <c r="CD206"/>
  <c r="CC206"/>
  <c r="CQ206" s="1"/>
  <c r="E100" i="19"/>
  <c r="E101" s="1"/>
  <c r="E99"/>
  <c r="E98"/>
  <c r="H97"/>
  <c r="I97" s="1"/>
  <c r="J44"/>
  <c r="F65" s="1"/>
  <c r="J43"/>
  <c r="J42"/>
  <c r="J40"/>
  <c r="F63" s="1"/>
  <c r="J39"/>
  <c r="J38"/>
  <c r="J37"/>
  <c r="J36"/>
  <c r="J35"/>
  <c r="J34"/>
  <c r="J31"/>
  <c r="F60" s="1"/>
  <c r="J30"/>
  <c r="F59" s="1"/>
  <c r="J28"/>
  <c r="J27"/>
  <c r="J26"/>
  <c r="J25"/>
  <c r="J24"/>
  <c r="J23"/>
  <c r="J21"/>
  <c r="J20"/>
  <c r="J15"/>
  <c r="J12"/>
  <c r="F56" s="1"/>
  <c r="J9"/>
  <c r="P7" s="1"/>
  <c r="J8"/>
  <c r="E100" i="18"/>
  <c r="E102" s="1"/>
  <c r="H97"/>
  <c r="I97" s="1"/>
  <c r="F56"/>
  <c r="J44"/>
  <c r="F65" s="1"/>
  <c r="J43"/>
  <c r="J42"/>
  <c r="F64" s="1"/>
  <c r="J40"/>
  <c r="F63" s="1"/>
  <c r="J39"/>
  <c r="J38"/>
  <c r="J37"/>
  <c r="J36"/>
  <c r="J35"/>
  <c r="J34"/>
  <c r="F62" s="1"/>
  <c r="J31"/>
  <c r="F60" s="1"/>
  <c r="J30"/>
  <c r="F59" s="1"/>
  <c r="J28"/>
  <c r="J27"/>
  <c r="J26"/>
  <c r="J25"/>
  <c r="J24"/>
  <c r="J23"/>
  <c r="J21"/>
  <c r="J20"/>
  <c r="J19"/>
  <c r="J18"/>
  <c r="J12"/>
  <c r="J9"/>
  <c r="F53" s="1"/>
  <c r="J8"/>
  <c r="F52" s="1"/>
  <c r="CQ212" i="9"/>
  <c r="CR212"/>
  <c r="CS212"/>
  <c r="CR211"/>
  <c r="CS211"/>
  <c r="CQ211"/>
  <c r="CF212"/>
  <c r="CG212"/>
  <c r="CH212"/>
  <c r="CG211"/>
  <c r="CH211"/>
  <c r="CF211"/>
  <c r="J18" i="3"/>
  <c r="CD218" i="9"/>
  <c r="CI220" s="1"/>
  <c r="P4" s="1"/>
  <c r="CO214"/>
  <c r="CT213" s="1"/>
  <c r="CD214"/>
  <c r="CO213"/>
  <c r="CD213"/>
  <c r="CI213" s="1"/>
  <c r="CU211" i="8" l="1"/>
  <c r="CK211"/>
  <c r="CU213"/>
  <c r="CJ213"/>
  <c r="CO216" i="19"/>
  <c r="CU218" s="1"/>
  <c r="CJ218"/>
  <c r="Q4" s="1"/>
  <c r="F97" i="18"/>
  <c r="F58"/>
  <c r="E98"/>
  <c r="E101"/>
  <c r="E99"/>
  <c r="F57"/>
  <c r="G97"/>
  <c r="J97"/>
  <c r="R6"/>
  <c r="Q6"/>
  <c r="R7"/>
  <c r="P6"/>
  <c r="Q7"/>
  <c r="P7"/>
  <c r="J10" i="19"/>
  <c r="F9" i="4" s="1"/>
  <c r="F53" i="19"/>
  <c r="R6"/>
  <c r="Q6"/>
  <c r="R7"/>
  <c r="P6"/>
  <c r="Q7"/>
  <c r="CJ220" i="9"/>
  <c r="Q4" s="1"/>
  <c r="CK220"/>
  <c r="R4" s="1"/>
  <c r="CG208" i="19"/>
  <c r="CJ208"/>
  <c r="CR208"/>
  <c r="CU208"/>
  <c r="CU213"/>
  <c r="F58"/>
  <c r="F64"/>
  <c r="F62"/>
  <c r="CK211" i="12"/>
  <c r="CK212"/>
  <c r="CV211"/>
  <c r="CV212"/>
  <c r="CK211" i="18"/>
  <c r="CK212"/>
  <c r="CV211"/>
  <c r="CV212"/>
  <c r="CV212" i="11"/>
  <c r="CK212"/>
  <c r="CJ212" i="19"/>
  <c r="CU212"/>
  <c r="CU212" i="10"/>
  <c r="CJ212"/>
  <c r="CK212" i="8"/>
  <c r="CJ212" i="1"/>
  <c r="CU207"/>
  <c r="CU211" i="11"/>
  <c r="CJ211"/>
  <c r="CR206" i="1"/>
  <c r="CU206" s="1"/>
  <c r="CR209"/>
  <c r="CU211"/>
  <c r="CU212"/>
  <c r="CU209"/>
  <c r="CV211"/>
  <c r="CV212"/>
  <c r="CQ207"/>
  <c r="CT207" s="1"/>
  <c r="CF207"/>
  <c r="CU208"/>
  <c r="CK212"/>
  <c r="CQ210"/>
  <c r="CT210" s="1"/>
  <c r="CF206"/>
  <c r="CI206" s="1"/>
  <c r="O4"/>
  <c r="CT206"/>
  <c r="CI207"/>
  <c r="CI208"/>
  <c r="CT208"/>
  <c r="CI209"/>
  <c r="CT209"/>
  <c r="CI210"/>
  <c r="CI211"/>
  <c r="CT211"/>
  <c r="CI212"/>
  <c r="CT212"/>
  <c r="CO216"/>
  <c r="CH206"/>
  <c r="CK206" s="1"/>
  <c r="CS206"/>
  <c r="CV206" s="1"/>
  <c r="CH207"/>
  <c r="CK207" s="1"/>
  <c r="CS207"/>
  <c r="CV207" s="1"/>
  <c r="CH208"/>
  <c r="CK208" s="1"/>
  <c r="CS208"/>
  <c r="CV208" s="1"/>
  <c r="CH209"/>
  <c r="CK209" s="1"/>
  <c r="CS209"/>
  <c r="CV209" s="1"/>
  <c r="CH210"/>
  <c r="CK210" s="1"/>
  <c r="CS210"/>
  <c r="CV210" s="1"/>
  <c r="CK218"/>
  <c r="Q4" s="1"/>
  <c r="CG206"/>
  <c r="CJ206" s="1"/>
  <c r="CG207"/>
  <c r="CJ207" s="1"/>
  <c r="CG208"/>
  <c r="CJ208" s="1"/>
  <c r="CG209"/>
  <c r="CJ209" s="1"/>
  <c r="CG210"/>
  <c r="CJ210" s="1"/>
  <c r="CR210"/>
  <c r="CU210" s="1"/>
  <c r="CJ218"/>
  <c r="P4" s="1"/>
  <c r="CU211" i="19"/>
  <c r="CJ211"/>
  <c r="F57"/>
  <c r="CR207"/>
  <c r="CU207" s="1"/>
  <c r="CG207"/>
  <c r="CJ207" s="1"/>
  <c r="CG206"/>
  <c r="CJ206" s="1"/>
  <c r="CR206"/>
  <c r="CU206" s="1"/>
  <c r="CT206" i="12"/>
  <c r="CT207"/>
  <c r="CT208"/>
  <c r="CT209"/>
  <c r="CT210"/>
  <c r="CI211"/>
  <c r="CT211"/>
  <c r="CI212"/>
  <c r="CT212"/>
  <c r="CI213"/>
  <c r="CT213"/>
  <c r="CO216"/>
  <c r="CH206"/>
  <c r="CK206" s="1"/>
  <c r="CS206"/>
  <c r="CV206" s="1"/>
  <c r="CH207"/>
  <c r="CK207" s="1"/>
  <c r="CS207"/>
  <c r="CV207" s="1"/>
  <c r="CH208"/>
  <c r="CK208" s="1"/>
  <c r="CS208"/>
  <c r="CV208" s="1"/>
  <c r="CH209"/>
  <c r="CK209" s="1"/>
  <c r="CS209"/>
  <c r="CV209" s="1"/>
  <c r="CH210"/>
  <c r="CK210" s="1"/>
  <c r="CS210"/>
  <c r="CV210" s="1"/>
  <c r="CK218"/>
  <c r="R4" s="1"/>
  <c r="CG206"/>
  <c r="CJ206" s="1"/>
  <c r="CR206"/>
  <c r="CU206" s="1"/>
  <c r="CG207"/>
  <c r="CJ207" s="1"/>
  <c r="CR207"/>
  <c r="CU207" s="1"/>
  <c r="CG208"/>
  <c r="CJ208" s="1"/>
  <c r="CR208"/>
  <c r="CU208" s="1"/>
  <c r="CG209"/>
  <c r="CJ209" s="1"/>
  <c r="CR209"/>
  <c r="CU209" s="1"/>
  <c r="CG210"/>
  <c r="CJ210" s="1"/>
  <c r="CR210"/>
  <c r="CU210" s="1"/>
  <c r="CK213"/>
  <c r="CV213"/>
  <c r="CJ218"/>
  <c r="Q4" s="1"/>
  <c r="CF206"/>
  <c r="CI206" s="1"/>
  <c r="CF207"/>
  <c r="CI207" s="1"/>
  <c r="CF208"/>
  <c r="CI208" s="1"/>
  <c r="CF209"/>
  <c r="CI209" s="1"/>
  <c r="CF210"/>
  <c r="CI210" s="1"/>
  <c r="CT206" i="18"/>
  <c r="CT207"/>
  <c r="CT208"/>
  <c r="CT209"/>
  <c r="CT210"/>
  <c r="CI211"/>
  <c r="CT211"/>
  <c r="CI212"/>
  <c r="CT212"/>
  <c r="CI213"/>
  <c r="CT213"/>
  <c r="CO216"/>
  <c r="CH206"/>
  <c r="CK206" s="1"/>
  <c r="CS206"/>
  <c r="CV206" s="1"/>
  <c r="CH207"/>
  <c r="CK207" s="1"/>
  <c r="CS207"/>
  <c r="CV207" s="1"/>
  <c r="CH208"/>
  <c r="CK208" s="1"/>
  <c r="CS208"/>
  <c r="CV208" s="1"/>
  <c r="CH209"/>
  <c r="CK209" s="1"/>
  <c r="CS209"/>
  <c r="CV209" s="1"/>
  <c r="CH210"/>
  <c r="CK210" s="1"/>
  <c r="CS210"/>
  <c r="CV210" s="1"/>
  <c r="CK218"/>
  <c r="R4" s="1"/>
  <c r="CG206"/>
  <c r="CJ206" s="1"/>
  <c r="CR206"/>
  <c r="CU206" s="1"/>
  <c r="CG207"/>
  <c r="CJ207" s="1"/>
  <c r="CR207"/>
  <c r="CU207" s="1"/>
  <c r="CG208"/>
  <c r="CJ208" s="1"/>
  <c r="CR208"/>
  <c r="CU208" s="1"/>
  <c r="CG209"/>
  <c r="CJ209" s="1"/>
  <c r="CR209"/>
  <c r="CU209" s="1"/>
  <c r="CG210"/>
  <c r="CJ210" s="1"/>
  <c r="CR210"/>
  <c r="CU210" s="1"/>
  <c r="CK213"/>
  <c r="CV213"/>
  <c r="CJ218"/>
  <c r="Q4" s="1"/>
  <c r="CF206"/>
  <c r="CI206" s="1"/>
  <c r="CF207"/>
  <c r="CI207" s="1"/>
  <c r="CF208"/>
  <c r="CI208" s="1"/>
  <c r="CF209"/>
  <c r="CI209" s="1"/>
  <c r="CF210"/>
  <c r="CI210" s="1"/>
  <c r="CT206" i="11"/>
  <c r="CT207"/>
  <c r="CT208"/>
  <c r="CT209"/>
  <c r="CT210"/>
  <c r="CI211"/>
  <c r="CT211"/>
  <c r="CI212"/>
  <c r="CT212"/>
  <c r="CI213"/>
  <c r="CT213"/>
  <c r="CO216"/>
  <c r="CH206"/>
  <c r="CK206" s="1"/>
  <c r="CS206"/>
  <c r="CV206" s="1"/>
  <c r="CH207"/>
  <c r="CK207" s="1"/>
  <c r="CS207"/>
  <c r="CV207" s="1"/>
  <c r="CH208"/>
  <c r="CK208" s="1"/>
  <c r="CS208"/>
  <c r="CV208" s="1"/>
  <c r="CH209"/>
  <c r="CK209" s="1"/>
  <c r="CS209"/>
  <c r="CV209" s="1"/>
  <c r="CH210"/>
  <c r="CK210" s="1"/>
  <c r="CS210"/>
  <c r="CV210" s="1"/>
  <c r="CK218"/>
  <c r="CG206"/>
  <c r="CJ206" s="1"/>
  <c r="CR206"/>
  <c r="CU206" s="1"/>
  <c r="CG207"/>
  <c r="CJ207" s="1"/>
  <c r="CR207"/>
  <c r="CU207" s="1"/>
  <c r="CG208"/>
  <c r="CJ208" s="1"/>
  <c r="CR208"/>
  <c r="CU208" s="1"/>
  <c r="CG209"/>
  <c r="CJ209" s="1"/>
  <c r="CR209"/>
  <c r="CU209" s="1"/>
  <c r="CG210"/>
  <c r="CJ210" s="1"/>
  <c r="CR210"/>
  <c r="CU210" s="1"/>
  <c r="CK213"/>
  <c r="CV213"/>
  <c r="CJ218"/>
  <c r="CF206"/>
  <c r="CI206" s="1"/>
  <c r="CF207"/>
  <c r="CI207" s="1"/>
  <c r="CF208"/>
  <c r="CI208" s="1"/>
  <c r="CF209"/>
  <c r="CI209" s="1"/>
  <c r="CF210"/>
  <c r="CI210" s="1"/>
  <c r="CT206" i="19"/>
  <c r="CT207"/>
  <c r="CT208"/>
  <c r="CT209"/>
  <c r="CT210"/>
  <c r="CI211"/>
  <c r="CT211"/>
  <c r="CI212"/>
  <c r="CT212"/>
  <c r="CT218"/>
  <c r="CH206"/>
  <c r="CK206" s="1"/>
  <c r="CS206"/>
  <c r="CV206" s="1"/>
  <c r="CH207"/>
  <c r="CK207" s="1"/>
  <c r="CS207"/>
  <c r="CV207" s="1"/>
  <c r="CH208"/>
  <c r="CK208" s="1"/>
  <c r="CS208"/>
  <c r="CV208" s="1"/>
  <c r="CH209"/>
  <c r="CK209" s="1"/>
  <c r="CS209"/>
  <c r="CV209" s="1"/>
  <c r="CH210"/>
  <c r="CK210" s="1"/>
  <c r="CS210"/>
  <c r="CV210" s="1"/>
  <c r="CK218"/>
  <c r="R4" s="1"/>
  <c r="CK211"/>
  <c r="CV211"/>
  <c r="CK212"/>
  <c r="CV212"/>
  <c r="CV218"/>
  <c r="CF206"/>
  <c r="CI206" s="1"/>
  <c r="CF207"/>
  <c r="CI207" s="1"/>
  <c r="CF208"/>
  <c r="CI208" s="1"/>
  <c r="CF209"/>
  <c r="CI209" s="1"/>
  <c r="CF210"/>
  <c r="CI210" s="1"/>
  <c r="CU211" i="10"/>
  <c r="CJ211"/>
  <c r="CV211" i="8"/>
  <c r="CV212"/>
  <c r="CJ211" i="3"/>
  <c r="CU212"/>
  <c r="CT208" i="10"/>
  <c r="CT209"/>
  <c r="CT206"/>
  <c r="CT207"/>
  <c r="CT210"/>
  <c r="CI211"/>
  <c r="CT211"/>
  <c r="CI212"/>
  <c r="CT212"/>
  <c r="CI213"/>
  <c r="CT213"/>
  <c r="CO216"/>
  <c r="CH206"/>
  <c r="CS206"/>
  <c r="CH207"/>
  <c r="CK207" s="1"/>
  <c r="CS207"/>
  <c r="CV207" s="1"/>
  <c r="CH208"/>
  <c r="CK208" s="1"/>
  <c r="CS208"/>
  <c r="CV208" s="1"/>
  <c r="CH209"/>
  <c r="CK209" s="1"/>
  <c r="CS209"/>
  <c r="CV209" s="1"/>
  <c r="CH210"/>
  <c r="CK210" s="1"/>
  <c r="CS210"/>
  <c r="CV210" s="1"/>
  <c r="CK218"/>
  <c r="R4" s="1"/>
  <c r="CG206"/>
  <c r="CJ206" s="1"/>
  <c r="CK206"/>
  <c r="CR206"/>
  <c r="CU206" s="1"/>
  <c r="CV206"/>
  <c r="CG207"/>
  <c r="CJ207" s="1"/>
  <c r="CR207"/>
  <c r="CU207" s="1"/>
  <c r="CG208"/>
  <c r="CJ208" s="1"/>
  <c r="CR208"/>
  <c r="CU208" s="1"/>
  <c r="CG209"/>
  <c r="CJ209" s="1"/>
  <c r="CR209"/>
  <c r="CU209" s="1"/>
  <c r="CG210"/>
  <c r="CJ210" s="1"/>
  <c r="CR210"/>
  <c r="CU210" s="1"/>
  <c r="CK211"/>
  <c r="CV211"/>
  <c r="CK212"/>
  <c r="CV212"/>
  <c r="CK213"/>
  <c r="CV213"/>
  <c r="CJ218"/>
  <c r="Q4" s="1"/>
  <c r="CF206"/>
  <c r="CI206" s="1"/>
  <c r="CF207"/>
  <c r="CI207" s="1"/>
  <c r="CF208"/>
  <c r="CI208" s="1"/>
  <c r="CF209"/>
  <c r="CI209" s="1"/>
  <c r="CF210"/>
  <c r="CI210" s="1"/>
  <c r="CV210" i="8"/>
  <c r="CQ206"/>
  <c r="CT206" s="1"/>
  <c r="CI206"/>
  <c r="CT207"/>
  <c r="CT208"/>
  <c r="CT209"/>
  <c r="CT210"/>
  <c r="CI211"/>
  <c r="CT211"/>
  <c r="CI212"/>
  <c r="CT212"/>
  <c r="CI213"/>
  <c r="CT213"/>
  <c r="CO216"/>
  <c r="CH206"/>
  <c r="CK206" s="1"/>
  <c r="CS207"/>
  <c r="CV207" s="1"/>
  <c r="CH209"/>
  <c r="CK209" s="1"/>
  <c r="CS209"/>
  <c r="CV209" s="1"/>
  <c r="CH210"/>
  <c r="CK210" s="1"/>
  <c r="CS210"/>
  <c r="CK218"/>
  <c r="R4" s="1"/>
  <c r="CS206"/>
  <c r="CV206" s="1"/>
  <c r="CH207"/>
  <c r="CK207" s="1"/>
  <c r="CH208"/>
  <c r="CK208" s="1"/>
  <c r="CS208"/>
  <c r="CV208" s="1"/>
  <c r="CG206"/>
  <c r="CJ206" s="1"/>
  <c r="CR206"/>
  <c r="CU206" s="1"/>
  <c r="CG207"/>
  <c r="CJ207" s="1"/>
  <c r="CR207"/>
  <c r="CU207" s="1"/>
  <c r="CG208"/>
  <c r="CJ208" s="1"/>
  <c r="CR208"/>
  <c r="CU208" s="1"/>
  <c r="CG209"/>
  <c r="CJ209" s="1"/>
  <c r="CR209"/>
  <c r="CU209" s="1"/>
  <c r="CG210"/>
  <c r="CJ210" s="1"/>
  <c r="CR210"/>
  <c r="CU210" s="1"/>
  <c r="CK213"/>
  <c r="CV213"/>
  <c r="CJ218"/>
  <c r="Q4" s="1"/>
  <c r="CF207"/>
  <c r="CI207" s="1"/>
  <c r="CF208"/>
  <c r="CI208" s="1"/>
  <c r="CF209"/>
  <c r="CI209" s="1"/>
  <c r="CF210"/>
  <c r="CI210" s="1"/>
  <c r="CJ213" i="3"/>
  <c r="CU213"/>
  <c r="CK218"/>
  <c r="R4" s="1"/>
  <c r="CJ218"/>
  <c r="Q4" s="1"/>
  <c r="CJ212"/>
  <c r="CU211"/>
  <c r="CT206"/>
  <c r="CT207"/>
  <c r="CT208"/>
  <c r="CT209"/>
  <c r="CT210"/>
  <c r="CI211"/>
  <c r="CT211"/>
  <c r="CI212"/>
  <c r="CT212"/>
  <c r="CI213"/>
  <c r="CT213"/>
  <c r="CO216"/>
  <c r="CS206"/>
  <c r="CV206" s="1"/>
  <c r="CH207"/>
  <c r="CK207" s="1"/>
  <c r="CS207"/>
  <c r="CV207" s="1"/>
  <c r="CH208"/>
  <c r="CK208" s="1"/>
  <c r="CS208"/>
  <c r="CV208" s="1"/>
  <c r="CH209"/>
  <c r="CS209"/>
  <c r="CH210"/>
  <c r="CK210" s="1"/>
  <c r="CS210"/>
  <c r="CV210" s="1"/>
  <c r="CH206"/>
  <c r="CK206" s="1"/>
  <c r="CG206"/>
  <c r="CJ206" s="1"/>
  <c r="CR206"/>
  <c r="CU206" s="1"/>
  <c r="CG207"/>
  <c r="CJ207" s="1"/>
  <c r="CR207"/>
  <c r="CU207" s="1"/>
  <c r="CG208"/>
  <c r="CJ208" s="1"/>
  <c r="CR208"/>
  <c r="CU208" s="1"/>
  <c r="CG209"/>
  <c r="CJ209" s="1"/>
  <c r="CK209"/>
  <c r="CR209"/>
  <c r="CU209" s="1"/>
  <c r="CV209"/>
  <c r="CG210"/>
  <c r="CJ210" s="1"/>
  <c r="CR210"/>
  <c r="CU210" s="1"/>
  <c r="CK211"/>
  <c r="CV211"/>
  <c r="CK212"/>
  <c r="CV212"/>
  <c r="CK213"/>
  <c r="CV213"/>
  <c r="CF206"/>
  <c r="CI206" s="1"/>
  <c r="CF207"/>
  <c r="CI207" s="1"/>
  <c r="CF208"/>
  <c r="CI208" s="1"/>
  <c r="CF209"/>
  <c r="CI209" s="1"/>
  <c r="CF210"/>
  <c r="CI210" s="1"/>
  <c r="J10" i="18"/>
  <c r="F11" i="4" s="1"/>
  <c r="F54" i="19"/>
  <c r="F52"/>
  <c r="G97"/>
  <c r="E102"/>
  <c r="F97"/>
  <c r="J97"/>
  <c r="CV213" i="9"/>
  <c r="CU213"/>
  <c r="CK213"/>
  <c r="CJ213"/>
  <c r="F54" i="18" l="1"/>
  <c r="CT215" i="1"/>
  <c r="CU215"/>
  <c r="CV215"/>
  <c r="CI215"/>
  <c r="CI219" s="1"/>
  <c r="O5" s="1"/>
  <c r="CJ215"/>
  <c r="CJ219" s="1"/>
  <c r="CK215"/>
  <c r="CK219" s="1"/>
  <c r="Q5" s="1"/>
  <c r="CU218"/>
  <c r="CV218"/>
  <c r="CT218"/>
  <c r="CU215" i="19"/>
  <c r="CU219" s="1"/>
  <c r="CJ215"/>
  <c r="CJ219" s="1"/>
  <c r="Q5" s="1"/>
  <c r="CI215" i="12"/>
  <c r="CK215"/>
  <c r="CK219" s="1"/>
  <c r="R5" s="1"/>
  <c r="CV215"/>
  <c r="CU218"/>
  <c r="CV218"/>
  <c r="CT218"/>
  <c r="CJ215"/>
  <c r="CJ219" s="1"/>
  <c r="Q5" s="1"/>
  <c r="CU215"/>
  <c r="CT215"/>
  <c r="CK215" i="18"/>
  <c r="CK219" s="1"/>
  <c r="R5" s="1"/>
  <c r="CI215"/>
  <c r="CV215"/>
  <c r="CU218"/>
  <c r="CV218"/>
  <c r="CT218"/>
  <c r="CJ215"/>
  <c r="CJ219" s="1"/>
  <c r="Q5" s="1"/>
  <c r="CU215"/>
  <c r="CU219" s="1"/>
  <c r="CT215"/>
  <c r="CI215" i="11"/>
  <c r="CK215"/>
  <c r="CK219" s="1"/>
  <c r="R5" s="1"/>
  <c r="CV215"/>
  <c r="CU218"/>
  <c r="CV218"/>
  <c r="CT218"/>
  <c r="CJ215"/>
  <c r="CJ219" s="1"/>
  <c r="Q5" s="1"/>
  <c r="CU215"/>
  <c r="CT215"/>
  <c r="CI215" i="19"/>
  <c r="CV215"/>
  <c r="CV219" s="1"/>
  <c r="CT215"/>
  <c r="CK215"/>
  <c r="CK219" s="1"/>
  <c r="R5" s="1"/>
  <c r="CJ215" i="10"/>
  <c r="CJ219" s="1"/>
  <c r="Q5" s="1"/>
  <c r="CT215"/>
  <c r="CI215"/>
  <c r="CU215"/>
  <c r="CU218"/>
  <c r="CV218"/>
  <c r="CT218"/>
  <c r="CK215"/>
  <c r="CK219" s="1"/>
  <c r="R5" s="1"/>
  <c r="CV215"/>
  <c r="CT215" i="8"/>
  <c r="CK215"/>
  <c r="CK219" s="1"/>
  <c r="R5" s="1"/>
  <c r="CU218"/>
  <c r="CV218"/>
  <c r="CT218"/>
  <c r="CJ215"/>
  <c r="CJ219" s="1"/>
  <c r="Q5" s="1"/>
  <c r="CI215"/>
  <c r="CU215"/>
  <c r="CV215"/>
  <c r="CJ215" i="3"/>
  <c r="CJ219" s="1"/>
  <c r="CI215"/>
  <c r="CV215"/>
  <c r="CU215"/>
  <c r="CU218"/>
  <c r="CV218"/>
  <c r="CT218"/>
  <c r="CT215"/>
  <c r="CK215"/>
  <c r="CK219" s="1"/>
  <c r="R5" s="1"/>
  <c r="CU219" i="12" l="1"/>
  <c r="CV219"/>
  <c r="CU219" i="11"/>
  <c r="CT219" i="1"/>
  <c r="CU219"/>
  <c r="CV219"/>
  <c r="P5"/>
  <c r="CT219" i="12"/>
  <c r="CI219"/>
  <c r="P5" s="1"/>
  <c r="CT219" i="18"/>
  <c r="CI219"/>
  <c r="P5" s="1"/>
  <c r="CV219"/>
  <c r="CT219" i="11"/>
  <c r="CI219"/>
  <c r="P5" s="1"/>
  <c r="CV219"/>
  <c r="CI219" i="19"/>
  <c r="P5" s="1"/>
  <c r="CT219"/>
  <c r="CU219" i="10"/>
  <c r="Q5" i="3"/>
  <c r="CV219" i="10"/>
  <c r="CI219"/>
  <c r="P5" s="1"/>
  <c r="CT219"/>
  <c r="CV219" i="8"/>
  <c r="CU219"/>
  <c r="CT219"/>
  <c r="CI219"/>
  <c r="P5" s="1"/>
  <c r="CV219" i="3"/>
  <c r="CU219"/>
  <c r="CI219"/>
  <c r="P5" s="1"/>
  <c r="CT219"/>
  <c r="CC207" i="9" l="1"/>
  <c r="CS207" s="1"/>
  <c r="CC208"/>
  <c r="CH208" s="1"/>
  <c r="CC209"/>
  <c r="CS209" s="1"/>
  <c r="CC210"/>
  <c r="CR210" s="1"/>
  <c r="CC211"/>
  <c r="CC212"/>
  <c r="CN207"/>
  <c r="CN208"/>
  <c r="CN209"/>
  <c r="CN210"/>
  <c r="CN211"/>
  <c r="CN212"/>
  <c r="CN206"/>
  <c r="J14"/>
  <c r="CO207"/>
  <c r="CO208"/>
  <c r="CO209"/>
  <c r="CO210"/>
  <c r="CO211"/>
  <c r="CO212"/>
  <c r="CO206"/>
  <c r="CD206"/>
  <c r="CD207"/>
  <c r="CD208"/>
  <c r="CD209"/>
  <c r="CD210"/>
  <c r="CD211"/>
  <c r="CD212"/>
  <c r="CC206"/>
  <c r="CR206" s="1"/>
  <c r="J21"/>
  <c r="J20"/>
  <c r="J18"/>
  <c r="CU206" l="1"/>
  <c r="CI212"/>
  <c r="CK208"/>
  <c r="CJ211"/>
  <c r="CH209"/>
  <c r="CV211"/>
  <c r="CV209"/>
  <c r="CU212"/>
  <c r="CK211"/>
  <c r="CF209"/>
  <c r="CI209" s="1"/>
  <c r="CT212"/>
  <c r="CU210"/>
  <c r="CV212"/>
  <c r="CU211"/>
  <c r="CI211"/>
  <c r="CT211"/>
  <c r="CV207"/>
  <c r="CK212"/>
  <c r="CR209"/>
  <c r="CU209" s="1"/>
  <c r="CS210"/>
  <c r="CV210" s="1"/>
  <c r="CF210"/>
  <c r="CI210" s="1"/>
  <c r="CQ210"/>
  <c r="CT210" s="1"/>
  <c r="CH210"/>
  <c r="CK210" s="1"/>
  <c r="CG210"/>
  <c r="CG209"/>
  <c r="CJ209" s="1"/>
  <c r="CQ209"/>
  <c r="CT209" s="1"/>
  <c r="CR208"/>
  <c r="CU208" s="1"/>
  <c r="CG208"/>
  <c r="CJ208" s="1"/>
  <c r="CS208"/>
  <c r="CV208" s="1"/>
  <c r="CQ208"/>
  <c r="CT208" s="1"/>
  <c r="CF208"/>
  <c r="CI208" s="1"/>
  <c r="CF207"/>
  <c r="CI207" s="1"/>
  <c r="CG207"/>
  <c r="CJ207" s="1"/>
  <c r="CH207"/>
  <c r="CK207" s="1"/>
  <c r="CR207"/>
  <c r="CU207" s="1"/>
  <c r="CQ207"/>
  <c r="CT207" s="1"/>
  <c r="CH206"/>
  <c r="CK206" s="1"/>
  <c r="CQ206"/>
  <c r="CT206" s="1"/>
  <c r="CG206"/>
  <c r="CJ206" s="1"/>
  <c r="CF206"/>
  <c r="CI206" s="1"/>
  <c r="CS206"/>
  <c r="CV206" s="1"/>
  <c r="CJ212"/>
  <c r="CJ210"/>
  <c r="CK209"/>
  <c r="H31"/>
  <c r="D8" i="7"/>
  <c r="CO218" i="9"/>
  <c r="CT217"/>
  <c r="CI217"/>
  <c r="CT216"/>
  <c r="CI216"/>
  <c r="CT221" i="10" l="1"/>
  <c r="CT221" i="1"/>
  <c r="CI221" i="10"/>
  <c r="CI221" i="1"/>
  <c r="CT221" i="12"/>
  <c r="CT221" i="18"/>
  <c r="CT221" i="11"/>
  <c r="CT221" i="19"/>
  <c r="CT221" i="8"/>
  <c r="CI221" i="12"/>
  <c r="CI221" i="18"/>
  <c r="CI221" i="11"/>
  <c r="CI221" i="19"/>
  <c r="CI221" i="8"/>
  <c r="CT220" i="9"/>
  <c r="CU220"/>
  <c r="CV220"/>
  <c r="E8" i="7"/>
  <c r="F8" s="1"/>
  <c r="CI221" i="3"/>
  <c r="CT221"/>
  <c r="CT223" i="9"/>
  <c r="CI223"/>
  <c r="CT215"/>
  <c r="CT221" s="1"/>
  <c r="CU215"/>
  <c r="CU221" s="1"/>
  <c r="CV215"/>
  <c r="CV221" s="1"/>
  <c r="CK215"/>
  <c r="CK221" s="1"/>
  <c r="R5" s="1"/>
  <c r="CI215"/>
  <c r="CJ215"/>
  <c r="CJ221" s="1"/>
  <c r="Q5" s="1"/>
  <c r="CK221" i="1" l="1"/>
  <c r="CV221" i="12"/>
  <c r="CV221" i="18"/>
  <c r="CV221" i="11"/>
  <c r="CV221" i="19"/>
  <c r="CV221" i="8"/>
  <c r="CK221" i="12"/>
  <c r="CK221" i="18"/>
  <c r="CK221" i="11"/>
  <c r="CK221" i="19"/>
  <c r="CK221" i="8"/>
  <c r="CV221" i="10"/>
  <c r="CV221" i="1"/>
  <c r="CK221" i="10"/>
  <c r="CJ221" i="12"/>
  <c r="CD224" s="1"/>
  <c r="CJ221" i="18"/>
  <c r="CD224" s="1"/>
  <c r="CJ221" i="11"/>
  <c r="CD224" s="1"/>
  <c r="CJ221" i="19"/>
  <c r="CD224" s="1"/>
  <c r="CJ221" i="8"/>
  <c r="CD224" s="1"/>
  <c r="CU221" i="10"/>
  <c r="CO224" s="1"/>
  <c r="CU221" i="1"/>
  <c r="CO224" s="1"/>
  <c r="CJ221" i="10"/>
  <c r="CD224" s="1"/>
  <c r="CJ221" i="1"/>
  <c r="CD224" s="1"/>
  <c r="CU221" i="12"/>
  <c r="CO224" s="1"/>
  <c r="CU221" i="18"/>
  <c r="CO224" s="1"/>
  <c r="CU221" i="11"/>
  <c r="CO224" s="1"/>
  <c r="CU221" i="19"/>
  <c r="CO224" s="1"/>
  <c r="CU221" i="8"/>
  <c r="CO224" s="1"/>
  <c r="CD223"/>
  <c r="CD222"/>
  <c r="CD223" i="12"/>
  <c r="CD222"/>
  <c r="CO223" i="18"/>
  <c r="CO222"/>
  <c r="CV221" i="3"/>
  <c r="CK221"/>
  <c r="CK223" i="9"/>
  <c r="CV223"/>
  <c r="E9" i="7"/>
  <c r="CU221" i="3"/>
  <c r="CJ221"/>
  <c r="CU223" i="9"/>
  <c r="CO225" s="1"/>
  <c r="CJ223"/>
  <c r="CI221"/>
  <c r="P5" s="1"/>
  <c r="J15" i="12"/>
  <c r="J23"/>
  <c r="J24"/>
  <c r="J25"/>
  <c r="J26"/>
  <c r="J27"/>
  <c r="J28"/>
  <c r="J30"/>
  <c r="J31"/>
  <c r="J34"/>
  <c r="J35"/>
  <c r="J36"/>
  <c r="J37"/>
  <c r="J38"/>
  <c r="J39"/>
  <c r="J40"/>
  <c r="J42"/>
  <c r="J43"/>
  <c r="J44"/>
  <c r="J9"/>
  <c r="J8"/>
  <c r="J15" i="11"/>
  <c r="J23"/>
  <c r="J24"/>
  <c r="J25"/>
  <c r="J26"/>
  <c r="J27"/>
  <c r="J28"/>
  <c r="J29"/>
  <c r="J30"/>
  <c r="J31"/>
  <c r="J33"/>
  <c r="J34"/>
  <c r="J37"/>
  <c r="J38"/>
  <c r="J39"/>
  <c r="J40"/>
  <c r="J41"/>
  <c r="J42"/>
  <c r="J43"/>
  <c r="J45"/>
  <c r="J46"/>
  <c r="J47"/>
  <c r="J9"/>
  <c r="J8"/>
  <c r="J43" i="10"/>
  <c r="J44"/>
  <c r="J30"/>
  <c r="J31"/>
  <c r="J34"/>
  <c r="J35"/>
  <c r="J36"/>
  <c r="J37"/>
  <c r="J38"/>
  <c r="J39"/>
  <c r="J40"/>
  <c r="J42"/>
  <c r="J15"/>
  <c r="J20"/>
  <c r="J21"/>
  <c r="J23"/>
  <c r="J24"/>
  <c r="J25"/>
  <c r="J26"/>
  <c r="J27"/>
  <c r="J28"/>
  <c r="J9"/>
  <c r="J8"/>
  <c r="J39" i="9"/>
  <c r="J40"/>
  <c r="J42"/>
  <c r="J43"/>
  <c r="J44"/>
  <c r="J15"/>
  <c r="J16"/>
  <c r="J17"/>
  <c r="J19"/>
  <c r="J23"/>
  <c r="J24"/>
  <c r="J25"/>
  <c r="J26"/>
  <c r="J27"/>
  <c r="J28"/>
  <c r="J30"/>
  <c r="J31"/>
  <c r="J34"/>
  <c r="J35"/>
  <c r="J36"/>
  <c r="J37"/>
  <c r="J38"/>
  <c r="J9"/>
  <c r="J8"/>
  <c r="I48" i="1"/>
  <c r="E69" s="1"/>
  <c r="J28" i="8"/>
  <c r="J30"/>
  <c r="J31"/>
  <c r="J34"/>
  <c r="J35"/>
  <c r="J36"/>
  <c r="J37"/>
  <c r="J38"/>
  <c r="J39"/>
  <c r="J40"/>
  <c r="J42"/>
  <c r="J43"/>
  <c r="J44"/>
  <c r="J15"/>
  <c r="J16"/>
  <c r="J23"/>
  <c r="J24"/>
  <c r="J25"/>
  <c r="J26"/>
  <c r="J27"/>
  <c r="J9"/>
  <c r="J8"/>
  <c r="J39" i="3"/>
  <c r="J40"/>
  <c r="J36"/>
  <c r="J37"/>
  <c r="J38"/>
  <c r="J42"/>
  <c r="J43"/>
  <c r="J44"/>
  <c r="J45"/>
  <c r="J15"/>
  <c r="J16"/>
  <c r="J17"/>
  <c r="J21"/>
  <c r="J23"/>
  <c r="J24"/>
  <c r="J25"/>
  <c r="J26"/>
  <c r="J27"/>
  <c r="J28"/>
  <c r="J30"/>
  <c r="J31"/>
  <c r="J34"/>
  <c r="J35"/>
  <c r="J9"/>
  <c r="J8"/>
  <c r="CD222" l="1"/>
  <c r="CD222" i="10"/>
  <c r="CO223" i="11"/>
  <c r="CD222" i="18"/>
  <c r="P7" i="11"/>
  <c r="Q7"/>
  <c r="P6"/>
  <c r="R7"/>
  <c r="Q6"/>
  <c r="R6"/>
  <c r="P7" i="10"/>
  <c r="Q7"/>
  <c r="P6"/>
  <c r="R7"/>
  <c r="Q6"/>
  <c r="R6"/>
  <c r="P7" i="8"/>
  <c r="Q7"/>
  <c r="P6"/>
  <c r="R7"/>
  <c r="Q6"/>
  <c r="R6"/>
  <c r="CO224" i="3"/>
  <c r="CD222" i="1"/>
  <c r="CO223"/>
  <c r="CD222" i="11"/>
  <c r="CO222" i="19"/>
  <c r="CO223" i="10"/>
  <c r="CO223" i="8"/>
  <c r="CD225" i="9"/>
  <c r="CO222" i="11"/>
  <c r="CO222" i="1"/>
  <c r="CO223" i="12"/>
  <c r="CD223" i="19"/>
  <c r="CO223"/>
  <c r="CO222" i="12"/>
  <c r="CD222" i="19"/>
  <c r="CO224" i="9"/>
  <c r="CD223" i="10"/>
  <c r="CD223" i="18"/>
  <c r="CO222" i="10"/>
  <c r="CO222" i="8"/>
  <c r="CD223" i="1"/>
  <c r="CD223" i="11"/>
  <c r="CO226" i="9"/>
  <c r="CO222" i="3"/>
  <c r="CD223"/>
  <c r="CD224"/>
  <c r="CO223"/>
  <c r="Q6" i="9"/>
  <c r="R7"/>
  <c r="Q7"/>
  <c r="P6"/>
  <c r="P7"/>
  <c r="R6"/>
  <c r="Q6" i="3"/>
  <c r="R7"/>
  <c r="Q7"/>
  <c r="P6"/>
  <c r="P7"/>
  <c r="R6"/>
  <c r="CD226" i="9"/>
  <c r="CD224"/>
  <c r="E97" i="17"/>
  <c r="J14"/>
  <c r="L14" s="1"/>
  <c r="L20"/>
  <c r="L21"/>
  <c r="L24"/>
  <c r="L29"/>
  <c r="L33"/>
  <c r="L40"/>
  <c r="K24"/>
  <c r="K28"/>
  <c r="K29"/>
  <c r="K32"/>
  <c r="K33"/>
  <c r="K40"/>
  <c r="F59" s="1"/>
  <c r="K16"/>
  <c r="J39"/>
  <c r="J40"/>
  <c r="J38"/>
  <c r="L38" s="1"/>
  <c r="J23"/>
  <c r="L23" s="1"/>
  <c r="J24"/>
  <c r="J25"/>
  <c r="K25" s="1"/>
  <c r="J26"/>
  <c r="K26" s="1"/>
  <c r="J27"/>
  <c r="L27" s="1"/>
  <c r="J28"/>
  <c r="L28" s="1"/>
  <c r="J29"/>
  <c r="J30"/>
  <c r="K30" s="1"/>
  <c r="J31"/>
  <c r="L31" s="1"/>
  <c r="J32"/>
  <c r="L32" s="1"/>
  <c r="J33"/>
  <c r="J34"/>
  <c r="K34" s="1"/>
  <c r="J35"/>
  <c r="L35" s="1"/>
  <c r="J36"/>
  <c r="L36" s="1"/>
  <c r="J22"/>
  <c r="K22" s="1"/>
  <c r="J37"/>
  <c r="L37" s="1"/>
  <c r="J19"/>
  <c r="L19" s="1"/>
  <c r="F19"/>
  <c r="F21"/>
  <c r="J4" s="1"/>
  <c r="J5"/>
  <c r="J15"/>
  <c r="L15" s="1"/>
  <c r="J16"/>
  <c r="L16" s="1"/>
  <c r="F15"/>
  <c r="F15" i="15"/>
  <c r="F16" i="13"/>
  <c r="J5"/>
  <c r="L22" i="17" l="1"/>
  <c r="K36"/>
  <c r="F55" s="1"/>
  <c r="K23"/>
  <c r="K38"/>
  <c r="F57" s="1"/>
  <c r="L34"/>
  <c r="L26"/>
  <c r="L39"/>
  <c r="K19"/>
  <c r="F53" s="1"/>
  <c r="K35"/>
  <c r="K31"/>
  <c r="K27"/>
  <c r="F54" s="1"/>
  <c r="K15"/>
  <c r="F50" s="1"/>
  <c r="L30"/>
  <c r="K37"/>
  <c r="F56" s="1"/>
  <c r="K39"/>
  <c r="F58" s="1"/>
  <c r="J17"/>
  <c r="K14"/>
  <c r="L25"/>
  <c r="J41"/>
  <c r="J42" s="1"/>
  <c r="E99" i="13"/>
  <c r="J40"/>
  <c r="L40" s="1"/>
  <c r="J20"/>
  <c r="F22"/>
  <c r="E10" i="4"/>
  <c r="D10"/>
  <c r="E8"/>
  <c r="D8"/>
  <c r="E7"/>
  <c r="D7"/>
  <c r="E6"/>
  <c r="D6"/>
  <c r="E5"/>
  <c r="D5"/>
  <c r="J16" i="13"/>
  <c r="J15"/>
  <c r="K15" s="1"/>
  <c r="F49" s="1"/>
  <c r="J43" i="17" l="1"/>
  <c r="K17"/>
  <c r="F49"/>
  <c r="F51" s="1"/>
  <c r="K41"/>
  <c r="L41"/>
  <c r="K16" i="13"/>
  <c r="F50" s="1"/>
  <c r="J23"/>
  <c r="K23" s="1"/>
  <c r="J39"/>
  <c r="L39" s="1"/>
  <c r="J29"/>
  <c r="L29" s="1"/>
  <c r="J36"/>
  <c r="L36" s="1"/>
  <c r="J28"/>
  <c r="L28" s="1"/>
  <c r="L20"/>
  <c r="J32"/>
  <c r="L32" s="1"/>
  <c r="J24"/>
  <c r="K24" s="1"/>
  <c r="J4"/>
  <c r="J33"/>
  <c r="K33" s="1"/>
  <c r="J25"/>
  <c r="L25" s="1"/>
  <c r="L15"/>
  <c r="K20"/>
  <c r="F54" s="1"/>
  <c r="J35"/>
  <c r="L35" s="1"/>
  <c r="J31"/>
  <c r="L31" s="1"/>
  <c r="J27"/>
  <c r="L27" s="1"/>
  <c r="J37"/>
  <c r="K39"/>
  <c r="F58" s="1"/>
  <c r="L16"/>
  <c r="K40"/>
  <c r="F59" s="1"/>
  <c r="J34"/>
  <c r="K34" s="1"/>
  <c r="J30"/>
  <c r="K30" s="1"/>
  <c r="J26"/>
  <c r="K26" s="1"/>
  <c r="J38"/>
  <c r="J51" i="15"/>
  <c r="K51" s="1"/>
  <c r="F71" s="1"/>
  <c r="J52"/>
  <c r="L52" s="1"/>
  <c r="J50"/>
  <c r="L50" s="1"/>
  <c r="J49"/>
  <c r="L49" s="1"/>
  <c r="J48"/>
  <c r="L48" s="1"/>
  <c r="J47"/>
  <c r="L47" s="1"/>
  <c r="J35"/>
  <c r="L35" s="1"/>
  <c r="Z38"/>
  <c r="Z39"/>
  <c r="Z40"/>
  <c r="Z41"/>
  <c r="Z42"/>
  <c r="Z43"/>
  <c r="Z44"/>
  <c r="Z22"/>
  <c r="Z23"/>
  <c r="Z24"/>
  <c r="Z25"/>
  <c r="Z26"/>
  <c r="Z27"/>
  <c r="Z28"/>
  <c r="Z29"/>
  <c r="Z30"/>
  <c r="Z31"/>
  <c r="Z32"/>
  <c r="Z21"/>
  <c r="F37"/>
  <c r="J39"/>
  <c r="L39" s="1"/>
  <c r="J40"/>
  <c r="L40" s="1"/>
  <c r="J41"/>
  <c r="L41" s="1"/>
  <c r="J42"/>
  <c r="K42" s="1"/>
  <c r="J43"/>
  <c r="K43" s="1"/>
  <c r="J44"/>
  <c r="L44" s="1"/>
  <c r="J45"/>
  <c r="L45" s="1"/>
  <c r="J46"/>
  <c r="K46" s="1"/>
  <c r="J38"/>
  <c r="L38" s="1"/>
  <c r="K26"/>
  <c r="J22"/>
  <c r="L22" s="1"/>
  <c r="J23"/>
  <c r="L23" s="1"/>
  <c r="J24"/>
  <c r="K24" s="1"/>
  <c r="J25"/>
  <c r="K25" s="1"/>
  <c r="J26"/>
  <c r="L26" s="1"/>
  <c r="J27"/>
  <c r="L27" s="1"/>
  <c r="J28"/>
  <c r="K28" s="1"/>
  <c r="J29"/>
  <c r="K29" s="1"/>
  <c r="J30"/>
  <c r="K30" s="1"/>
  <c r="J31"/>
  <c r="L31" s="1"/>
  <c r="J32"/>
  <c r="K32" s="1"/>
  <c r="J33"/>
  <c r="K33" s="1"/>
  <c r="J34"/>
  <c r="L34" s="1"/>
  <c r="J21"/>
  <c r="L21" s="1"/>
  <c r="F20"/>
  <c r="K5"/>
  <c r="K4"/>
  <c r="E110" s="1"/>
  <c r="K42" i="17" l="1"/>
  <c r="K43" s="1"/>
  <c r="F60"/>
  <c r="K34" i="15"/>
  <c r="L23" i="13"/>
  <c r="K36"/>
  <c r="K28"/>
  <c r="K27"/>
  <c r="L24"/>
  <c r="K29"/>
  <c r="L33"/>
  <c r="L26"/>
  <c r="K35"/>
  <c r="K32"/>
  <c r="K25"/>
  <c r="L30"/>
  <c r="K31"/>
  <c r="L34"/>
  <c r="L38"/>
  <c r="K38"/>
  <c r="F57" s="1"/>
  <c r="K37"/>
  <c r="F56" s="1"/>
  <c r="L37"/>
  <c r="J41"/>
  <c r="L41" s="1"/>
  <c r="E109" i="15"/>
  <c r="L51"/>
  <c r="J53"/>
  <c r="J54" s="1"/>
  <c r="K52"/>
  <c r="F72" s="1"/>
  <c r="K50"/>
  <c r="F70" s="1"/>
  <c r="K49"/>
  <c r="F69" s="1"/>
  <c r="L42"/>
  <c r="L30"/>
  <c r="K48"/>
  <c r="F68" s="1"/>
  <c r="K31"/>
  <c r="K23"/>
  <c r="L43"/>
  <c r="K21"/>
  <c r="K27"/>
  <c r="L46"/>
  <c r="K39"/>
  <c r="E112"/>
  <c r="E111"/>
  <c r="E108"/>
  <c r="K44"/>
  <c r="L32"/>
  <c r="L28"/>
  <c r="L24"/>
  <c r="K45"/>
  <c r="K40"/>
  <c r="L33"/>
  <c r="L29"/>
  <c r="L25"/>
  <c r="K47"/>
  <c r="F67" s="1"/>
  <c r="Z33"/>
  <c r="F19" s="1"/>
  <c r="Z45"/>
  <c r="F36" s="1"/>
  <c r="K41"/>
  <c r="K38"/>
  <c r="K22"/>
  <c r="K35"/>
  <c r="J16"/>
  <c r="J12"/>
  <c r="J13"/>
  <c r="J14"/>
  <c r="J15"/>
  <c r="J11"/>
  <c r="J10"/>
  <c r="F55" i="13" l="1"/>
  <c r="L42"/>
  <c r="F66" i="15"/>
  <c r="F65"/>
  <c r="K41" i="13"/>
  <c r="K53" i="15"/>
  <c r="F73" s="1"/>
  <c r="L53"/>
  <c r="L54" s="1"/>
  <c r="K13"/>
  <c r="L13"/>
  <c r="K14"/>
  <c r="F60" s="1"/>
  <c r="L14"/>
  <c r="K15"/>
  <c r="F61" s="1"/>
  <c r="L15"/>
  <c r="K16"/>
  <c r="F62" s="1"/>
  <c r="L16"/>
  <c r="K12"/>
  <c r="L12"/>
  <c r="K10"/>
  <c r="L10"/>
  <c r="K11"/>
  <c r="L11"/>
  <c r="J17"/>
  <c r="J55" s="1"/>
  <c r="E98" i="17"/>
  <c r="H94"/>
  <c r="I94" s="1"/>
  <c r="H107" i="15"/>
  <c r="G107" s="1"/>
  <c r="F59" l="1"/>
  <c r="L17" i="17"/>
  <c r="E95"/>
  <c r="K42" i="13"/>
  <c r="F60"/>
  <c r="K17" i="15"/>
  <c r="F63" s="1"/>
  <c r="L17"/>
  <c r="L55" s="1"/>
  <c r="F107"/>
  <c r="J107"/>
  <c r="I107"/>
  <c r="K54"/>
  <c r="F94" i="17"/>
  <c r="J94"/>
  <c r="G94"/>
  <c r="E99"/>
  <c r="E96"/>
  <c r="F74" i="15" l="1"/>
  <c r="F75" s="1"/>
  <c r="K55"/>
  <c r="H110" s="1"/>
  <c r="J110" l="1"/>
  <c r="H111"/>
  <c r="H112"/>
  <c r="G110"/>
  <c r="H109"/>
  <c r="I110"/>
  <c r="H108"/>
  <c r="F110"/>
  <c r="H74" i="1"/>
  <c r="E46"/>
  <c r="I40"/>
  <c r="I41"/>
  <c r="I44"/>
  <c r="E67" s="1"/>
  <c r="I32"/>
  <c r="E63" s="1"/>
  <c r="E100" i="13"/>
  <c r="H96"/>
  <c r="I96" s="1"/>
  <c r="J17"/>
  <c r="F53" i="12"/>
  <c r="E100"/>
  <c r="E101" s="1"/>
  <c r="H97"/>
  <c r="I97" s="1"/>
  <c r="F63"/>
  <c r="F60"/>
  <c r="F59"/>
  <c r="J12"/>
  <c r="F56" s="1"/>
  <c r="F52"/>
  <c r="E103" i="11"/>
  <c r="E105" s="1"/>
  <c r="J100"/>
  <c r="H100"/>
  <c r="G100" s="1"/>
  <c r="F66"/>
  <c r="F63"/>
  <c r="F62"/>
  <c r="J12"/>
  <c r="F59" s="1"/>
  <c r="F56"/>
  <c r="F55"/>
  <c r="F61" l="1"/>
  <c r="F100"/>
  <c r="L17" i="13"/>
  <c r="L18" s="1"/>
  <c r="L43" s="1"/>
  <c r="K17"/>
  <c r="G108" i="15"/>
  <c r="J108"/>
  <c r="I108"/>
  <c r="F108"/>
  <c r="G112"/>
  <c r="I112"/>
  <c r="J112"/>
  <c r="F112"/>
  <c r="I109"/>
  <c r="G109"/>
  <c r="J109"/>
  <c r="F109"/>
  <c r="J111"/>
  <c r="G111"/>
  <c r="I111"/>
  <c r="F111"/>
  <c r="G96" i="13"/>
  <c r="J18"/>
  <c r="F96"/>
  <c r="J96"/>
  <c r="E97"/>
  <c r="E102" i="12"/>
  <c r="E101" i="13"/>
  <c r="E98"/>
  <c r="F57" i="12"/>
  <c r="E98"/>
  <c r="F58"/>
  <c r="F62"/>
  <c r="F97"/>
  <c r="J97"/>
  <c r="G97"/>
  <c r="F64"/>
  <c r="J10"/>
  <c r="F12" i="4" s="1"/>
  <c r="F65" i="11"/>
  <c r="F60"/>
  <c r="I100"/>
  <c r="E102"/>
  <c r="J10"/>
  <c r="E101"/>
  <c r="F67"/>
  <c r="E104"/>
  <c r="E99" i="12"/>
  <c r="F54" l="1"/>
  <c r="F57" i="11"/>
  <c r="F10" i="4"/>
  <c r="K18" i="13"/>
  <c r="K43" s="1"/>
  <c r="H99" s="1"/>
  <c r="F51"/>
  <c r="F52" s="1"/>
  <c r="F26" i="7"/>
  <c r="F27"/>
  <c r="F28"/>
  <c r="F29"/>
  <c r="F30"/>
  <c r="F31"/>
  <c r="F32"/>
  <c r="F33"/>
  <c r="F34"/>
  <c r="F35"/>
  <c r="E100" i="10"/>
  <c r="E101" s="1"/>
  <c r="H97"/>
  <c r="I97" s="1"/>
  <c r="F63"/>
  <c r="F60"/>
  <c r="F59"/>
  <c r="J12"/>
  <c r="F53"/>
  <c r="F58" l="1"/>
  <c r="F62"/>
  <c r="J10"/>
  <c r="F8" i="4" s="1"/>
  <c r="E98" i="10"/>
  <c r="F57"/>
  <c r="F64"/>
  <c r="F52"/>
  <c r="F56"/>
  <c r="G97"/>
  <c r="E102"/>
  <c r="F97"/>
  <c r="J97"/>
  <c r="E99"/>
  <c r="F54" l="1"/>
  <c r="E100" i="9"/>
  <c r="E101" s="1"/>
  <c r="H97"/>
  <c r="I97" s="1"/>
  <c r="F63"/>
  <c r="F60"/>
  <c r="F59"/>
  <c r="J12"/>
  <c r="F56" s="1"/>
  <c r="F53"/>
  <c r="F52"/>
  <c r="E100" i="8"/>
  <c r="E102" s="1"/>
  <c r="H97"/>
  <c r="I97" s="1"/>
  <c r="F63"/>
  <c r="F60"/>
  <c r="F59"/>
  <c r="J12"/>
  <c r="F53"/>
  <c r="J97" i="9" l="1"/>
  <c r="F62"/>
  <c r="E98"/>
  <c r="F58"/>
  <c r="F57"/>
  <c r="G97"/>
  <c r="F97"/>
  <c r="J10"/>
  <c r="F64"/>
  <c r="E102"/>
  <c r="E99"/>
  <c r="F64" i="8"/>
  <c r="E98"/>
  <c r="F62"/>
  <c r="E101"/>
  <c r="F58"/>
  <c r="F57"/>
  <c r="J10"/>
  <c r="F6" i="4" s="1"/>
  <c r="F52" i="8"/>
  <c r="E99"/>
  <c r="F56"/>
  <c r="G97"/>
  <c r="F97"/>
  <c r="J97"/>
  <c r="F54" l="1"/>
  <c r="F54" i="9"/>
  <c r="F7" i="4"/>
  <c r="F63" i="3"/>
  <c r="E101"/>
  <c r="E102" s="1"/>
  <c r="H98"/>
  <c r="I98" s="1"/>
  <c r="F64"/>
  <c r="F60"/>
  <c r="F61"/>
  <c r="G98" l="1"/>
  <c r="F98"/>
  <c r="J98"/>
  <c r="E103"/>
  <c r="E99"/>
  <c r="E100"/>
  <c r="F65"/>
  <c r="F59"/>
  <c r="F58"/>
  <c r="F17" i="7"/>
  <c r="F18"/>
  <c r="F19"/>
  <c r="F20"/>
  <c r="F21"/>
  <c r="F22"/>
  <c r="F23"/>
  <c r="F24"/>
  <c r="F25"/>
  <c r="F36"/>
  <c r="F37"/>
  <c r="F38"/>
  <c r="F39"/>
  <c r="F40"/>
  <c r="F16"/>
  <c r="F41" l="1"/>
  <c r="F43" s="1"/>
  <c r="F54" i="3"/>
  <c r="F53"/>
  <c r="J12"/>
  <c r="H32" i="19" l="1"/>
  <c r="J32" s="1"/>
  <c r="H32" i="18"/>
  <c r="J32" s="1"/>
  <c r="H35" i="11"/>
  <c r="J35" s="1"/>
  <c r="G36" i="1"/>
  <c r="I36" s="1"/>
  <c r="H32" i="12"/>
  <c r="J32" s="1"/>
  <c r="H32" i="3"/>
  <c r="J32" s="1"/>
  <c r="H32" i="10"/>
  <c r="J32" s="1"/>
  <c r="J32" i="9"/>
  <c r="H32" i="8"/>
  <c r="J32" s="1"/>
  <c r="F57" i="3"/>
  <c r="J10"/>
  <c r="F61" i="19" l="1"/>
  <c r="F66" s="1"/>
  <c r="F67" s="1"/>
  <c r="J45"/>
  <c r="G9" i="4" s="1"/>
  <c r="H9" s="1"/>
  <c r="F61" i="18"/>
  <c r="F66" s="1"/>
  <c r="F67" s="1"/>
  <c r="J45"/>
  <c r="G11" i="4" s="1"/>
  <c r="H11" s="1"/>
  <c r="F55" i="3"/>
  <c r="F5" i="4"/>
  <c r="F61" i="10"/>
  <c r="F65"/>
  <c r="F68" i="11"/>
  <c r="E65" i="1"/>
  <c r="F61" i="8"/>
  <c r="F65"/>
  <c r="F65" i="12"/>
  <c r="F65" i="9"/>
  <c r="F66" i="3"/>
  <c r="F61" i="9"/>
  <c r="F62" i="3"/>
  <c r="F61" i="13"/>
  <c r="F62" s="1"/>
  <c r="J42"/>
  <c r="J43" s="1"/>
  <c r="F61" i="12"/>
  <c r="F61" i="17"/>
  <c r="F62" s="1"/>
  <c r="L42"/>
  <c r="L43" s="1"/>
  <c r="H97" s="1"/>
  <c r="F64" i="11"/>
  <c r="J46" i="18" l="1"/>
  <c r="J47"/>
  <c r="J46" i="19"/>
  <c r="J47"/>
  <c r="J45" i="8"/>
  <c r="J47" s="1"/>
  <c r="J48" i="11"/>
  <c r="J50" s="1"/>
  <c r="F66" i="8"/>
  <c r="F67" s="1"/>
  <c r="F66" i="10"/>
  <c r="F67" s="1"/>
  <c r="F66" i="12"/>
  <c r="F67" s="1"/>
  <c r="F69" i="11"/>
  <c r="F70" s="1"/>
  <c r="F67" i="3"/>
  <c r="F68" s="1"/>
  <c r="J46"/>
  <c r="J48" s="1"/>
  <c r="J45" i="10"/>
  <c r="J47" s="1"/>
  <c r="J45" i="12"/>
  <c r="F66" i="9"/>
  <c r="F67" s="1"/>
  <c r="J45"/>
  <c r="H95" i="17"/>
  <c r="F97"/>
  <c r="H99"/>
  <c r="J97"/>
  <c r="G97"/>
  <c r="H98"/>
  <c r="I97"/>
  <c r="H96"/>
  <c r="H100" i="13"/>
  <c r="H97"/>
  <c r="I99"/>
  <c r="G99"/>
  <c r="J99"/>
  <c r="H101"/>
  <c r="H98"/>
  <c r="F99"/>
  <c r="J47" i="12" l="1"/>
  <c r="I12" i="4" s="1"/>
  <c r="G12"/>
  <c r="H12" s="1"/>
  <c r="H100" i="19"/>
  <c r="H98" s="1"/>
  <c r="J98" s="1"/>
  <c r="I9" i="4"/>
  <c r="H100" i="10"/>
  <c r="I8" i="4"/>
  <c r="H100" i="8"/>
  <c r="I6" i="4"/>
  <c r="H103" i="11"/>
  <c r="I10" i="4"/>
  <c r="H100" i="18"/>
  <c r="H99" s="1"/>
  <c r="I99" s="1"/>
  <c r="I11" i="4"/>
  <c r="G10"/>
  <c r="H10" s="1"/>
  <c r="H101" i="3"/>
  <c r="I5" i="4"/>
  <c r="J47" i="9"/>
  <c r="I7" i="4" s="1"/>
  <c r="J49" i="11"/>
  <c r="F103" s="1"/>
  <c r="G6" i="4"/>
  <c r="H6" s="1"/>
  <c r="J46" i="8"/>
  <c r="G8" i="4"/>
  <c r="H8" s="1"/>
  <c r="J46" i="10"/>
  <c r="J46" i="12"/>
  <c r="J47" i="3"/>
  <c r="G5" i="4"/>
  <c r="H5" s="1"/>
  <c r="G7"/>
  <c r="H7" s="1"/>
  <c r="J46" i="9"/>
  <c r="F101" i="13"/>
  <c r="I101"/>
  <c r="J101"/>
  <c r="G101"/>
  <c r="G98"/>
  <c r="I98"/>
  <c r="J98"/>
  <c r="F98"/>
  <c r="J100"/>
  <c r="F100"/>
  <c r="I100"/>
  <c r="G100"/>
  <c r="J95" i="17"/>
  <c r="I95"/>
  <c r="G95"/>
  <c r="F95"/>
  <c r="F97" i="13"/>
  <c r="J97"/>
  <c r="I97"/>
  <c r="G97"/>
  <c r="J98" i="17"/>
  <c r="G98"/>
  <c r="I98"/>
  <c r="F98"/>
  <c r="I99"/>
  <c r="F99"/>
  <c r="G99"/>
  <c r="J99"/>
  <c r="F96"/>
  <c r="J96"/>
  <c r="I96"/>
  <c r="G96"/>
  <c r="G100" i="1"/>
  <c r="D103"/>
  <c r="I47"/>
  <c r="I46"/>
  <c r="I43"/>
  <c r="I42"/>
  <c r="I39"/>
  <c r="I38"/>
  <c r="I35"/>
  <c r="I34"/>
  <c r="I30"/>
  <c r="I29"/>
  <c r="I28"/>
  <c r="I27"/>
  <c r="I26"/>
  <c r="I25"/>
  <c r="I17"/>
  <c r="I16"/>
  <c r="I14"/>
  <c r="E60" s="1"/>
  <c r="I11"/>
  <c r="E57" s="1"/>
  <c r="I10"/>
  <c r="H102" i="19" l="1"/>
  <c r="G102" s="1"/>
  <c r="H100" i="12"/>
  <c r="I100" s="1"/>
  <c r="G99" i="18"/>
  <c r="F99"/>
  <c r="I100" i="19"/>
  <c r="H99"/>
  <c r="J99" s="1"/>
  <c r="J99" i="18"/>
  <c r="H98"/>
  <c r="I98" s="1"/>
  <c r="J100" i="19"/>
  <c r="H101"/>
  <c r="I101" s="1"/>
  <c r="J100" i="18"/>
  <c r="H102"/>
  <c r="J102" s="1"/>
  <c r="I100"/>
  <c r="F100"/>
  <c r="G100"/>
  <c r="H101"/>
  <c r="G100" i="19"/>
  <c r="F100"/>
  <c r="F98"/>
  <c r="I98"/>
  <c r="G98"/>
  <c r="H100" i="9"/>
  <c r="I100" s="1"/>
  <c r="I103" i="11"/>
  <c r="E66" i="1"/>
  <c r="H104" i="11"/>
  <c r="J103"/>
  <c r="H105"/>
  <c r="H101"/>
  <c r="F101" s="1"/>
  <c r="G103"/>
  <c r="H102"/>
  <c r="H102" i="8"/>
  <c r="H99"/>
  <c r="G100"/>
  <c r="H101"/>
  <c r="F100"/>
  <c r="I100"/>
  <c r="H98"/>
  <c r="J100"/>
  <c r="G100" i="10"/>
  <c r="H101"/>
  <c r="H99"/>
  <c r="F100"/>
  <c r="J100"/>
  <c r="H98"/>
  <c r="H102"/>
  <c r="I100"/>
  <c r="G101" i="3"/>
  <c r="F101"/>
  <c r="H102"/>
  <c r="H100"/>
  <c r="H103"/>
  <c r="I101"/>
  <c r="J101"/>
  <c r="H99"/>
  <c r="E68" i="1"/>
  <c r="E62"/>
  <c r="D102"/>
  <c r="D101"/>
  <c r="D104"/>
  <c r="D105"/>
  <c r="F100"/>
  <c r="I100"/>
  <c r="H100"/>
  <c r="E100"/>
  <c r="I12"/>
  <c r="E56"/>
  <c r="E61"/>
  <c r="E64"/>
  <c r="F102" i="19" l="1"/>
  <c r="J102"/>
  <c r="I102"/>
  <c r="G99"/>
  <c r="F99"/>
  <c r="I99"/>
  <c r="H99" i="12"/>
  <c r="H98"/>
  <c r="G98" s="1"/>
  <c r="H102"/>
  <c r="I102" s="1"/>
  <c r="F100"/>
  <c r="J100"/>
  <c r="H101"/>
  <c r="F101" s="1"/>
  <c r="G100"/>
  <c r="G98" i="18"/>
  <c r="G101" i="19"/>
  <c r="F101"/>
  <c r="J101"/>
  <c r="F98" i="18"/>
  <c r="J98"/>
  <c r="F102"/>
  <c r="I102"/>
  <c r="G102"/>
  <c r="G101"/>
  <c r="J101"/>
  <c r="F101"/>
  <c r="I101"/>
  <c r="H99" i="9"/>
  <c r="G99" s="1"/>
  <c r="H101"/>
  <c r="G101" s="1"/>
  <c r="H98"/>
  <c r="G98" s="1"/>
  <c r="G100"/>
  <c r="F100"/>
  <c r="J100"/>
  <c r="H102"/>
  <c r="J102" s="1"/>
  <c r="J101" i="11"/>
  <c r="E58" i="1"/>
  <c r="I49"/>
  <c r="G13" i="4" s="1"/>
  <c r="H13" s="1"/>
  <c r="I104" i="11"/>
  <c r="J104"/>
  <c r="F104"/>
  <c r="G104"/>
  <c r="J102"/>
  <c r="F102"/>
  <c r="I102"/>
  <c r="G102"/>
  <c r="J105"/>
  <c r="F105"/>
  <c r="I105"/>
  <c r="G105"/>
  <c r="G101"/>
  <c r="I101"/>
  <c r="I102" i="8"/>
  <c r="F102"/>
  <c r="G102"/>
  <c r="J102"/>
  <c r="F99"/>
  <c r="I99"/>
  <c r="G99"/>
  <c r="J99"/>
  <c r="G98"/>
  <c r="J98"/>
  <c r="I98"/>
  <c r="F98"/>
  <c r="G101"/>
  <c r="J101"/>
  <c r="F101"/>
  <c r="I101"/>
  <c r="F103" i="3"/>
  <c r="J103"/>
  <c r="I103"/>
  <c r="G103"/>
  <c r="J98" i="10"/>
  <c r="I98"/>
  <c r="G98"/>
  <c r="F98"/>
  <c r="F102" i="3"/>
  <c r="J102"/>
  <c r="G102"/>
  <c r="I102"/>
  <c r="J102" i="10"/>
  <c r="G102"/>
  <c r="F102"/>
  <c r="I102"/>
  <c r="I99"/>
  <c r="F99"/>
  <c r="G99"/>
  <c r="J99"/>
  <c r="G102" i="12"/>
  <c r="J102"/>
  <c r="I101" i="10"/>
  <c r="F101"/>
  <c r="G101"/>
  <c r="J101"/>
  <c r="F99" i="12"/>
  <c r="I99"/>
  <c r="G99"/>
  <c r="J99"/>
  <c r="F99" i="3"/>
  <c r="J99"/>
  <c r="G99"/>
  <c r="I99"/>
  <c r="G100"/>
  <c r="I100"/>
  <c r="F100"/>
  <c r="J100"/>
  <c r="I98" i="9"/>
  <c r="I99"/>
  <c r="J98" i="12" l="1"/>
  <c r="F98"/>
  <c r="I98"/>
  <c r="G101"/>
  <c r="F102"/>
  <c r="J101"/>
  <c r="I101"/>
  <c r="G102" i="9"/>
  <c r="J99"/>
  <c r="F98"/>
  <c r="I50" i="1"/>
  <c r="E71" s="1"/>
  <c r="I51"/>
  <c r="F99" i="9"/>
  <c r="J98"/>
  <c r="F101"/>
  <c r="J101"/>
  <c r="I101"/>
  <c r="F102"/>
  <c r="I102"/>
  <c r="E70" i="1"/>
  <c r="G103" l="1"/>
  <c r="E103" s="1"/>
  <c r="I13" i="4"/>
  <c r="I103" i="1" l="1"/>
  <c r="G105"/>
  <c r="H105" s="1"/>
  <c r="G101"/>
  <c r="H101" s="1"/>
  <c r="F103"/>
  <c r="H103"/>
  <c r="G102"/>
  <c r="F102" s="1"/>
  <c r="G104"/>
  <c r="I104" s="1"/>
  <c r="E105" l="1"/>
  <c r="I105"/>
  <c r="F105"/>
  <c r="F101"/>
  <c r="H102"/>
  <c r="E102"/>
  <c r="I102"/>
  <c r="F104"/>
  <c r="E101"/>
  <c r="E104"/>
  <c r="H104"/>
  <c r="I101"/>
</calcChain>
</file>

<file path=xl/comments1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comments2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comments3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
</t>
        </r>
      </text>
    </comment>
  </commentList>
</comments>
</file>

<file path=xl/comments4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comments5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comments6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comments7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comments8.xml><?xml version="1.0" encoding="utf-8"?>
<comments xmlns="http://schemas.openxmlformats.org/spreadsheetml/2006/main">
  <authors>
    <author>Korisnik</author>
  </authors>
  <commentLis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Korisnik:</t>
        </r>
        <r>
          <rPr>
            <sz val="9"/>
            <color indexed="81"/>
            <rFont val="Tahoma"/>
            <family val="2"/>
            <charset val="238"/>
          </rPr>
          <t xml:space="preserve">
Uneti godinu korišćenja stajnjaka 1, 2 ili 3. godina</t>
        </r>
      </text>
    </comment>
  </commentList>
</comments>
</file>

<file path=xl/sharedStrings.xml><?xml version="1.0" encoding="utf-8"?>
<sst xmlns="http://schemas.openxmlformats.org/spreadsheetml/2006/main" count="2799" uniqueCount="512">
  <si>
    <t>Komentari</t>
  </si>
  <si>
    <t>ha</t>
  </si>
  <si>
    <t>t/ha</t>
  </si>
  <si>
    <t>Količina</t>
  </si>
  <si>
    <t>Jedinica mere</t>
  </si>
  <si>
    <t>Cena</t>
  </si>
  <si>
    <t>I</t>
  </si>
  <si>
    <t>Prihod</t>
  </si>
  <si>
    <t>1.</t>
  </si>
  <si>
    <t>Seno lucerke (1. godina)</t>
  </si>
  <si>
    <t>din/t</t>
  </si>
  <si>
    <t>2.</t>
  </si>
  <si>
    <t>Seno lucerke (2-5. godine)</t>
  </si>
  <si>
    <t>II</t>
  </si>
  <si>
    <t>Varijabilni troškovi</t>
  </si>
  <si>
    <t>Seme</t>
  </si>
  <si>
    <t>S.J.</t>
  </si>
  <si>
    <t>din</t>
  </si>
  <si>
    <t>Đubriva</t>
  </si>
  <si>
    <t>Stajnjak</t>
  </si>
  <si>
    <t>kg/ha</t>
  </si>
  <si>
    <t>din/kg</t>
  </si>
  <si>
    <t>3.</t>
  </si>
  <si>
    <t>Pesticidi</t>
  </si>
  <si>
    <t>l (kg)/ha</t>
  </si>
  <si>
    <t>din/l (kg)</t>
  </si>
  <si>
    <t>c)</t>
  </si>
  <si>
    <t>d)</t>
  </si>
  <si>
    <t>e)</t>
  </si>
  <si>
    <t>f)</t>
  </si>
  <si>
    <t>4.</t>
  </si>
  <si>
    <t xml:space="preserve">Dizel gorivo </t>
  </si>
  <si>
    <t>Osnovna obrada zemljišta</t>
  </si>
  <si>
    <t>l/ha</t>
  </si>
  <si>
    <t>din/l</t>
  </si>
  <si>
    <t>5.</t>
  </si>
  <si>
    <t>Utovar i rasturanje stajnjaka</t>
  </si>
  <si>
    <t>din/ha</t>
  </si>
  <si>
    <t>Setva</t>
  </si>
  <si>
    <t>Baliranje</t>
  </si>
  <si>
    <t>6.</t>
  </si>
  <si>
    <t>Ukupno varijabilni troškovi</t>
  </si>
  <si>
    <t>Bruto marža</t>
  </si>
  <si>
    <t>Realno očekivan</t>
  </si>
  <si>
    <t>Košenje</t>
  </si>
  <si>
    <t>Grabljenje</t>
  </si>
  <si>
    <t>Ukupan prihod</t>
  </si>
  <si>
    <t>Zrno kukuruza</t>
  </si>
  <si>
    <t>1. KUKURUZ</t>
  </si>
  <si>
    <t>Kukuruzovina</t>
  </si>
  <si>
    <t xml:space="preserve">b) </t>
  </si>
  <si>
    <t>a) Stajnjak</t>
  </si>
  <si>
    <t>Navodnjavanje</t>
  </si>
  <si>
    <t>Sezonska radna snaga</t>
  </si>
  <si>
    <t>Dizel gorivo</t>
  </si>
  <si>
    <t>Održavanje mehanizacije</t>
  </si>
  <si>
    <t>Energent</t>
  </si>
  <si>
    <t>Plaćena sezonska radna snaga</t>
  </si>
  <si>
    <t>Plaćene usluge mehanizacijom</t>
  </si>
  <si>
    <t>Oranje</t>
  </si>
  <si>
    <t>7.</t>
  </si>
  <si>
    <t>Berba</t>
  </si>
  <si>
    <t>8.</t>
  </si>
  <si>
    <t>Iznos            din/ha</t>
  </si>
  <si>
    <t>Sklop od 60.000 biljaka</t>
  </si>
  <si>
    <t>Priprema zemljišta</t>
  </si>
  <si>
    <t>Izdaci za održavanje mehanizacije:</t>
  </si>
  <si>
    <t>9.</t>
  </si>
  <si>
    <t>10.</t>
  </si>
  <si>
    <t>11.</t>
  </si>
  <si>
    <t>12.</t>
  </si>
  <si>
    <t>13.</t>
  </si>
  <si>
    <t>14.</t>
  </si>
  <si>
    <t>15.</t>
  </si>
  <si>
    <t>Ulje motorno</t>
  </si>
  <si>
    <t>Izdatak</t>
  </si>
  <si>
    <t>UKUPNO:</t>
  </si>
  <si>
    <t>Filter ulja</t>
  </si>
  <si>
    <t>Filter goriva</t>
  </si>
  <si>
    <t>Ukupna godišnja potrošnja dizel goriva na gazdinstvu</t>
  </si>
  <si>
    <t>Troškovi održavanja mehanizacije po litri dizel goriva</t>
  </si>
  <si>
    <t>Servis hidraulika</t>
  </si>
  <si>
    <t>16.</t>
  </si>
  <si>
    <t>17.</t>
  </si>
  <si>
    <t>18.</t>
  </si>
  <si>
    <t>19.</t>
  </si>
  <si>
    <t>20.</t>
  </si>
  <si>
    <t>Rade Popović</t>
  </si>
  <si>
    <t>Departman za agrarnu ekonomiju i agrobiznis</t>
  </si>
  <si>
    <t>Ekonomski fakultet u Subotici</t>
  </si>
  <si>
    <t>Univerzitet u Novom Sadu</t>
  </si>
  <si>
    <t>popovicr@ef.uns.ac.rs</t>
  </si>
  <si>
    <t>024/628064</t>
  </si>
  <si>
    <t>Litar</t>
  </si>
  <si>
    <t>Trošak skladištenja</t>
  </si>
  <si>
    <t>Transport do kupca</t>
  </si>
  <si>
    <t>kg</t>
  </si>
  <si>
    <t>a) Guardian</t>
  </si>
  <si>
    <t>b) Tezis</t>
  </si>
  <si>
    <t>Trošak krunjenja</t>
  </si>
  <si>
    <t>r.sati</t>
  </si>
  <si>
    <t>Ukupni varijabilni troškovi</t>
  </si>
  <si>
    <t xml:space="preserve">BRUTO MARŽA </t>
  </si>
  <si>
    <t>III</t>
  </si>
  <si>
    <t>Tri puta izvršeno navodnjavanje</t>
  </si>
  <si>
    <t>din/r.s.</t>
  </si>
  <si>
    <t>Đubrivo</t>
  </si>
  <si>
    <t>(din/ha)</t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</si>
  <si>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kukuruza</t>
    </r>
  </si>
  <si>
    <r>
      <t xml:space="preserve">Prinos </t>
    </r>
    <r>
      <rPr>
        <sz val="11"/>
        <rFont val="Arial"/>
        <family val="2"/>
        <charset val="238"/>
      </rPr>
      <t>(kg/ha)</t>
    </r>
  </si>
  <si>
    <t>Očekivana</t>
  </si>
  <si>
    <t>Uskladištavanje, krunjenje i sl.</t>
  </si>
  <si>
    <t>2. PŠENICA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</si>
  <si>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kukuruza na 1 ha</t>
    </r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</si>
  <si>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pšenice na 1 ha</t>
    </r>
  </si>
  <si>
    <t>Slama</t>
  </si>
  <si>
    <t>g</t>
  </si>
  <si>
    <t>a) Meteor</t>
  </si>
  <si>
    <t>Žetva</t>
  </si>
  <si>
    <t>Uskladištavanje i sl.</t>
  </si>
  <si>
    <t>3. SOJA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</si>
  <si>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soje na 1 ha</t>
    </r>
  </si>
  <si>
    <t>a) Rampa</t>
  </si>
  <si>
    <t>b) Galbenon</t>
  </si>
  <si>
    <t>c) Okvir</t>
  </si>
  <si>
    <t>4. SUNCOKRET</t>
  </si>
  <si>
    <t>b) Rezon</t>
  </si>
  <si>
    <t>c) Pantera</t>
  </si>
  <si>
    <t>21.</t>
  </si>
  <si>
    <t>22.</t>
  </si>
  <si>
    <t>23.</t>
  </si>
  <si>
    <t>24.</t>
  </si>
  <si>
    <t>25.</t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</si>
  <si>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lucerke</t>
    </r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</si>
  <si>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šećerne repe na 1 ha</t>
    </r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</si>
  <si>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suncokreta na 1 ha</t>
    </r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</si>
  <si>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krompira na 1 ha</t>
    </r>
  </si>
  <si>
    <t>Proizvodna godina:</t>
  </si>
  <si>
    <t>Šećerna repa</t>
  </si>
  <si>
    <t>a) Goltix</t>
  </si>
  <si>
    <t>b) Betanal AM 11</t>
  </si>
  <si>
    <t>c) Lontrel</t>
  </si>
  <si>
    <t>d) Safari</t>
  </si>
  <si>
    <t>gram</t>
  </si>
  <si>
    <t>din/g</t>
  </si>
  <si>
    <t>e) Fusilade forte</t>
  </si>
  <si>
    <t>f) Acanto plus</t>
  </si>
  <si>
    <t>g) Force 1,5 G</t>
  </si>
  <si>
    <t>h) Lebaycid</t>
  </si>
  <si>
    <t>i) Sphere</t>
  </si>
  <si>
    <t>Broj pona-vljanja</t>
  </si>
  <si>
    <t>Kukuruz u zrnu</t>
  </si>
  <si>
    <t>Vađenje krompira</t>
  </si>
  <si>
    <t>Dezinsekcija i deratizacija</t>
  </si>
  <si>
    <t>a) Radar versus G</t>
  </si>
  <si>
    <t>b) Zanat</t>
  </si>
  <si>
    <t>c) Mankogal 80</t>
  </si>
  <si>
    <t>d) Fuzija</t>
  </si>
  <si>
    <t>e) Tonus</t>
  </si>
  <si>
    <t xml:space="preserve">Krompir </t>
  </si>
  <si>
    <r>
      <t>Cena</t>
    </r>
    <r>
      <rPr>
        <sz val="11"/>
        <rFont val="Arial"/>
        <family val="2"/>
        <charset val="238"/>
      </rPr>
      <t xml:space="preserve"> (din/kg)</t>
    </r>
  </si>
  <si>
    <t>Cena (din/t)</t>
  </si>
  <si>
    <r>
      <rPr>
        <sz val="11"/>
        <rFont val="Arial"/>
        <family val="2"/>
        <charset val="238"/>
      </rPr>
      <t xml:space="preserve">Naziv: </t>
    </r>
    <r>
      <rPr>
        <b/>
        <sz val="11"/>
        <rFont val="Arial"/>
        <family val="2"/>
        <charset val="238"/>
      </rPr>
      <t>Kalkulacija bruto marže proizvodnje lucerke na 1 ha</t>
    </r>
  </si>
  <si>
    <t xml:space="preserve">e) </t>
  </si>
  <si>
    <t xml:space="preserve">f) </t>
  </si>
  <si>
    <t>a) Galbenon</t>
  </si>
  <si>
    <t>b) Rafal 120</t>
  </si>
  <si>
    <t>c) Etiol</t>
  </si>
  <si>
    <t>d) Cink - fosfid mamak</t>
  </si>
  <si>
    <t>Nega i zaštita, košenje, grabljenje, skupljanje, transport i dr.</t>
  </si>
  <si>
    <t>din/bala</t>
  </si>
  <si>
    <t>Prinos (kg/ha)</t>
  </si>
  <si>
    <t>Troškovi skladištenja</t>
  </si>
  <si>
    <t>Unose se podaci za jedno košenje. Prosečna težina bale oko 12,5 kg</t>
  </si>
  <si>
    <t>bala/otkos</t>
  </si>
  <si>
    <t>Rezime kalkulacije bruto marže u proizvodnji lucerke na 1 ha</t>
  </si>
  <si>
    <t xml:space="preserve">Unose se podaci samo za plaćene usluge mehanizacijom, </t>
  </si>
  <si>
    <t>a nikako trošak sopstvene mehanizacije.</t>
  </si>
  <si>
    <t>Prinos po otkosu:</t>
  </si>
  <si>
    <t>Broj košenja:</t>
  </si>
  <si>
    <t>Suncokret</t>
  </si>
  <si>
    <t>Soja</t>
  </si>
  <si>
    <t>Pšenica</t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</si>
  <si>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krompira</t>
    </r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</si>
  <si>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šećerne repe</t>
    </r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</si>
  <si>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suncokreta</t>
    </r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</si>
  <si>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soje</t>
    </r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</si>
  <si>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pšenice</t>
    </r>
  </si>
  <si>
    <t>Sadržaj:</t>
  </si>
  <si>
    <t>1.Kukuruz</t>
  </si>
  <si>
    <t>2.Pšenica</t>
  </si>
  <si>
    <t>a) Acetogal plus</t>
  </si>
  <si>
    <t>d) Pantera</t>
  </si>
  <si>
    <t>3.Soja</t>
  </si>
  <si>
    <t>4.Suncokret</t>
  </si>
  <si>
    <t>Tovne svinje</t>
  </si>
  <si>
    <t>Subvencije po grlu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</si>
  <si>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tova svinja </t>
    </r>
  </si>
  <si>
    <t>Period:</t>
  </si>
  <si>
    <t>grlo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</si>
  <si>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tova pilića </t>
    </r>
  </si>
  <si>
    <t>Period tova:</t>
  </si>
  <si>
    <t>Koncentrovana stočna hrana</t>
  </si>
  <si>
    <t>Kabasta stočna hrana</t>
  </si>
  <si>
    <t>Mleko - prodato mlekari</t>
  </si>
  <si>
    <t>Mleko - za telad</t>
  </si>
  <si>
    <t>Mleko - za domaćinstvo</t>
  </si>
  <si>
    <t>tona</t>
  </si>
  <si>
    <t>Telad</t>
  </si>
  <si>
    <t>Upisuje se cena teladi starosti 7 do 10 dana, bez obzira kada su prodata.</t>
  </si>
  <si>
    <t>din/grlo</t>
  </si>
  <si>
    <t>Kupljeni koncentrat</t>
  </si>
  <si>
    <t>Kukuruz</t>
  </si>
  <si>
    <t>Ječam</t>
  </si>
  <si>
    <t>Ovas</t>
  </si>
  <si>
    <t>Tritikale</t>
  </si>
  <si>
    <t>Pivski treber</t>
  </si>
  <si>
    <t>Sojina sačma</t>
  </si>
  <si>
    <t>Soja zrno preprženo</t>
  </si>
  <si>
    <t xml:space="preserve">Suncokretova sačma </t>
  </si>
  <si>
    <t xml:space="preserve">Premiksi </t>
  </si>
  <si>
    <t xml:space="preserve">So 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</si>
  <si>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proizvodje kravljeg mleka</t>
    </r>
  </si>
  <si>
    <t>litra/god</t>
  </si>
  <si>
    <t>Godišnja količina za  celo osnovno stado</t>
  </si>
  <si>
    <t>Silaža</t>
  </si>
  <si>
    <t>Trava</t>
  </si>
  <si>
    <t>Repini rezanci, repići</t>
  </si>
  <si>
    <t>Detelina, lucerka</t>
  </si>
  <si>
    <t>Seno</t>
  </si>
  <si>
    <t>Prostirka</t>
  </si>
  <si>
    <t>Voda</t>
  </si>
  <si>
    <t>kg/dan</t>
  </si>
  <si>
    <t>Dnevne količine po jednom grlu</t>
  </si>
  <si>
    <t>Osemenjavanje</t>
  </si>
  <si>
    <t>Veterinarske usluge i lekovi</t>
  </si>
  <si>
    <t>Potrošni materijal</t>
  </si>
  <si>
    <t>Usluge</t>
  </si>
  <si>
    <t>%</t>
  </si>
  <si>
    <t>Mleko</t>
  </si>
  <si>
    <t>Subvencije</t>
  </si>
  <si>
    <t>Prosečna cena mleka:</t>
  </si>
  <si>
    <t>Prosečna mlečnost:</t>
  </si>
  <si>
    <t>Iznos ukupno</t>
  </si>
  <si>
    <t>DMI</t>
  </si>
  <si>
    <t>Pšenična slama</t>
  </si>
  <si>
    <t>Legenda:</t>
  </si>
  <si>
    <t>Prosečna dnevna količina u periodu laktacije</t>
  </si>
  <si>
    <t xml:space="preserve">Sadržaj suve materije </t>
  </si>
  <si>
    <t>Podaci se unose samo ako se troši voda iz vodovoda</t>
  </si>
  <si>
    <t>(din/grlo)</t>
  </si>
  <si>
    <t>Rezime kalkulacije bruto marže proizvodnje kukuruza na 1 ha</t>
  </si>
  <si>
    <t>Rezime kalkulacije bruto marže proizvodnje pšenice na 1 ha</t>
  </si>
  <si>
    <t>Rezime kalkulacije bruto marže proizvodnje soje na 1 ha</t>
  </si>
  <si>
    <t>Rezime kalkulacije bruto marže proizvodnje suncokreta na 1 ha</t>
  </si>
  <si>
    <t>Rezime kalkulacije bruto marže proizvodnje šećerne repe na 1 ha</t>
  </si>
  <si>
    <t>Rezime kalkulacije bruto marže proizvodnje krompira na 1 ha</t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</si>
  <si>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kravljeg mleka</t>
    </r>
  </si>
  <si>
    <r>
      <t xml:space="preserve">Iznos            </t>
    </r>
    <r>
      <rPr>
        <sz val="11"/>
        <rFont val="Arial"/>
        <family val="2"/>
        <charset val="238"/>
      </rPr>
      <t>(din/grlo)</t>
    </r>
  </si>
  <si>
    <r>
      <t xml:space="preserve">Iznos </t>
    </r>
    <r>
      <rPr>
        <sz val="11"/>
        <rFont val="Arial"/>
        <family val="2"/>
        <charset val="238"/>
      </rPr>
      <t>(din/litar)</t>
    </r>
  </si>
  <si>
    <r>
      <t>din/m</t>
    </r>
    <r>
      <rPr>
        <vertAlign val="superscript"/>
        <sz val="11"/>
        <rFont val="Arial"/>
        <family val="2"/>
        <charset val="238"/>
      </rPr>
      <t>3</t>
    </r>
  </si>
  <si>
    <t>l/dan</t>
  </si>
  <si>
    <t>doza/grlo</t>
  </si>
  <si>
    <t>din/doza</t>
  </si>
  <si>
    <t>Rezime kalkulacije bruto marže u proizvodnji kravljeg mleka</t>
  </si>
  <si>
    <r>
      <t>Cena</t>
    </r>
    <r>
      <rPr>
        <sz val="11"/>
        <rFont val="Arial"/>
        <family val="2"/>
        <charset val="238"/>
      </rPr>
      <t xml:space="preserve"> (din/litar)</t>
    </r>
  </si>
  <si>
    <t>Realno očekivana</t>
  </si>
  <si>
    <r>
      <t xml:space="preserve">Prostirka </t>
    </r>
    <r>
      <rPr>
        <sz val="10"/>
        <rFont val="Arial"/>
        <family val="2"/>
        <charset val="238"/>
      </rPr>
      <t>(po jednom grlu)</t>
    </r>
  </si>
  <si>
    <r>
      <t xml:space="preserve">Voda </t>
    </r>
    <r>
      <rPr>
        <sz val="10"/>
        <rFont val="Arial"/>
        <family val="2"/>
        <charset val="238"/>
      </rPr>
      <t>(po jednom grlu)</t>
    </r>
  </si>
  <si>
    <r>
      <t xml:space="preserve">Osemenjavanje </t>
    </r>
    <r>
      <rPr>
        <sz val="10"/>
        <rFont val="Arial"/>
        <family val="2"/>
        <charset val="238"/>
      </rPr>
      <t>(po jednom grlu)</t>
    </r>
  </si>
  <si>
    <t>Rezime kalkulacije bruto marže tova svinja</t>
  </si>
  <si>
    <t>Ostali varijabilni troškovi</t>
  </si>
  <si>
    <r>
      <t xml:space="preserve">Prirast </t>
    </r>
    <r>
      <rPr>
        <sz val="11"/>
        <rFont val="Arial"/>
        <family val="2"/>
        <charset val="238"/>
      </rPr>
      <t>(kg/grlo)</t>
    </r>
  </si>
  <si>
    <t>Komšije kupuju 2 litre mleka dnevno</t>
  </si>
  <si>
    <t>Iznos            ukupno</t>
  </si>
  <si>
    <r>
      <t>Iznos (</t>
    </r>
    <r>
      <rPr>
        <sz val="11"/>
        <rFont val="Arial"/>
        <family val="2"/>
        <charset val="238"/>
      </rPr>
      <t>din/grlo)</t>
    </r>
  </si>
  <si>
    <r>
      <t>Iznos (</t>
    </r>
    <r>
      <rPr>
        <sz val="11"/>
        <rFont val="Arial"/>
        <family val="2"/>
        <charset val="238"/>
      </rPr>
      <t>din/kg)</t>
    </r>
  </si>
  <si>
    <t>kg/grlo</t>
  </si>
  <si>
    <t>Broj tovljenika stavljenih u tov:</t>
  </si>
  <si>
    <t>Prosečna krajnja težina tovljenika:</t>
  </si>
  <si>
    <t>Stopa konverzije hrane:</t>
  </si>
  <si>
    <t>din/tona</t>
  </si>
  <si>
    <t>Kamata na varijabilni kapital</t>
  </si>
  <si>
    <t>Rezime kalkulacija bruto marži linija biljne proizvodnje</t>
  </si>
  <si>
    <t>Usev</t>
  </si>
  <si>
    <t>Krompir</t>
  </si>
  <si>
    <t>Prinos</t>
  </si>
  <si>
    <t>Bruto  marža</t>
  </si>
  <si>
    <t>(t/ha)</t>
  </si>
  <si>
    <t>(din/kg)</t>
  </si>
  <si>
    <t>Silirano zrno kukuruza</t>
  </si>
  <si>
    <t xml:space="preserve">Koncentrat  </t>
  </si>
  <si>
    <t>Dužina tova:</t>
  </si>
  <si>
    <t>Premiks</t>
  </si>
  <si>
    <t>Stočno brašno</t>
  </si>
  <si>
    <t>Suncokretova sačma</t>
  </si>
  <si>
    <t>Mart-Jun</t>
  </si>
  <si>
    <t>Stopa uginuća u tovu:</t>
  </si>
  <si>
    <t>dana</t>
  </si>
  <si>
    <t>Prosečna dnevna količina po grlu</t>
  </si>
  <si>
    <t>Popravka prikolice</t>
  </si>
  <si>
    <t xml:space="preserve">Stajnjak </t>
  </si>
  <si>
    <t>Prasad</t>
  </si>
  <si>
    <t>Koncentrat</t>
  </si>
  <si>
    <r>
      <t xml:space="preserve">Analiza osetljivosti </t>
    </r>
    <r>
      <rPr>
        <sz val="11"/>
        <rFont val="Arial"/>
        <family val="2"/>
        <charset val="238"/>
      </rPr>
      <t>rezultata kalkulacije bruto marže u tovu svinja</t>
    </r>
  </si>
  <si>
    <r>
      <t xml:space="preserve">Živa mera </t>
    </r>
    <r>
      <rPr>
        <sz val="11"/>
        <rFont val="Arial"/>
        <family val="2"/>
        <charset val="238"/>
      </rPr>
      <t>(kg/grlo)</t>
    </r>
  </si>
  <si>
    <t>Mart-Maj</t>
  </si>
  <si>
    <t>Tovni pilići</t>
  </si>
  <si>
    <t>Jednodnevno pile</t>
  </si>
  <si>
    <t>Jednodnevni pilići</t>
  </si>
  <si>
    <t>din/kom</t>
  </si>
  <si>
    <t>Električna energija</t>
  </si>
  <si>
    <t>din/KWh</t>
  </si>
  <si>
    <t>kg hrane/kg prirasta</t>
  </si>
  <si>
    <t>litar/dan</t>
  </si>
  <si>
    <t>Broj pilića stavljenih u tov:</t>
  </si>
  <si>
    <t>Rezime kalkulacije bruto marže tova pilića</t>
  </si>
  <si>
    <r>
      <t>Tovni pilići</t>
    </r>
    <r>
      <rPr>
        <sz val="11"/>
        <rFont val="Arial"/>
        <family val="2"/>
        <charset val="238"/>
      </rPr>
      <t xml:space="preserve"> (broj grla na kraju tova)</t>
    </r>
  </si>
  <si>
    <t>Prasad (prosečna težina jednog grla)</t>
  </si>
  <si>
    <t>Predstarter i starter</t>
  </si>
  <si>
    <t>Mast</t>
  </si>
  <si>
    <t>Prosečna količina za 1 grlo za ceo tov</t>
  </si>
  <si>
    <t>KWh</t>
  </si>
  <si>
    <r>
      <t xml:space="preserve">Električna energija </t>
    </r>
    <r>
      <rPr>
        <sz val="10"/>
        <rFont val="Arial"/>
        <family val="2"/>
        <charset val="238"/>
      </rPr>
      <t>(ukupno)</t>
    </r>
  </si>
  <si>
    <r>
      <t xml:space="preserve">Iznos </t>
    </r>
    <r>
      <rPr>
        <sz val="11"/>
        <rFont val="Arial"/>
        <family val="2"/>
        <charset val="238"/>
      </rPr>
      <t>(din/kg)</t>
    </r>
  </si>
  <si>
    <t xml:space="preserve"> - količina je prevelika ili premala u odnosu na standarde</t>
  </si>
  <si>
    <t>Prosečna težina na kraju tova:</t>
  </si>
  <si>
    <t>Podaci u koloni Komentari obojeni u sivo</t>
  </si>
  <si>
    <t>služe za detaljnije beleške o unetim podacima.</t>
  </si>
  <si>
    <t>U svim ostalim ćelijama nije omogućen unos, zbog zaštite funkcionalnosti obrazaca.</t>
  </si>
  <si>
    <t>Obračun prihoda i varijabilnih troškova na linijama biljne proizvodnje vrši se po 1 hektaru, da bi podaci o</t>
  </si>
  <si>
    <t xml:space="preserve">Ukoliko poljoprivrednik razmenjuje usluge mehanizacije sa drugim poljoprivrednicima, za useve gde mu drugi </t>
  </si>
  <si>
    <t>poljoprivrednici pružaju usluge na primer: setve, žetve i slično, obavezno navesti vrednost primljene usluge.</t>
  </si>
  <si>
    <t>određene proizvode.</t>
  </si>
  <si>
    <t>Šta je to "Bruto marža"?</t>
  </si>
  <si>
    <t xml:space="preserve">Analiza osetljivosti služi za ocenu proizvodnog i tržišnog rizika. Ako se očekuje veća varijacija cena ili prinosa </t>
  </si>
  <si>
    <t>u analizi osetljivosti opseg se može promeniti na: +/- 30, 40, 50% itd.</t>
  </si>
  <si>
    <t xml:space="preserve">Bruto marža jedne linije proizvodnje jeste razlika između ukupnih prihoda i ukupnih varijabilnih troškova koji </t>
  </si>
  <si>
    <t xml:space="preserve">se očekuju u toj proizvodnji. U kratkoročnom periodu, koji u poljoprivredi najčešće iznosi godinu dana, cilj </t>
  </si>
  <si>
    <t>maksimiziranja profita poljoprivrednog gazdinstva. Razlog leži u činjenici da ukupni fiksni troškovi na poljopri-</t>
  </si>
  <si>
    <t>vrednom gazdinstvu nisu promenljivi u tom periodu.</t>
  </si>
  <si>
    <t>Postoji nekoliko elemenata o kojima treba voditi računa kada se bruto marža koristi kao vodič pri izboru</t>
  </si>
  <si>
    <t>Kamatna stopa na štednju u dinarima na period od 12 meseci, za sopstveni kapital ili ugovorena kamatna stopa na uzeti kredit.</t>
  </si>
  <si>
    <t>linija prozvodnje za narednu proizvodnu godinu:</t>
  </si>
  <si>
    <t xml:space="preserve">* svaka linija proizvodnje ima različit nivo proizvodnog i cenovnog rizika, o čemu se dodatno mora </t>
  </si>
  <si>
    <t>* likvidnost poljoprivrednog gazdinstva mora biti obezbeđena tokom cele godine, a odabrane</t>
  </si>
  <si>
    <t xml:space="preserve">* direktna uporedivost bruto marži je moguća samo kod linija biljne proizvodnje, </t>
  </si>
  <si>
    <t>* uporedivost bruto marži kod linija stočarske proizvodnje je moguća samo pri obračunu na uslo-</t>
  </si>
  <si>
    <t xml:space="preserve">   vno grlo, što ovde nije slučaj,</t>
  </si>
  <si>
    <t>Varijabilni troškovi su oni čiji iznos varira zavisno od veličine kapaciteta linije proizvodnje. Drugim rečima, ako</t>
  </si>
  <si>
    <t>semena, mineralnog đubriva, pesticida, dizel goriva i drugi, a u stočarskoj proizvodnji: stočna hrana, voda,</t>
  </si>
  <si>
    <t>veterinarske usluge i lekovi itd.</t>
  </si>
  <si>
    <t>Za sve sugestije i dodatna pitanja obratite se autoru modela:</t>
  </si>
  <si>
    <t xml:space="preserve">  linije proizvodnje imaju ključni uticaj,</t>
  </si>
  <si>
    <t xml:space="preserve">  aktivnosti imaju takođe uticaja na konačni izbor linija proizvodnje.</t>
  </si>
  <si>
    <t xml:space="preserve">se ne proizvodi, oni ne postoje. U varijabilne troškove u biljnoj proizvodnji se ubrajaju najčešće troškovi: </t>
  </si>
  <si>
    <t>Fiksni troškovi su oni koji u periodu do 1 godine postoje na gazdinstvu, bez obzira da li ono posluje ili ne.</t>
  </si>
  <si>
    <t>PROSEK    1ha 1-5 god.</t>
  </si>
  <si>
    <t>Mleko - prodato potrošačima</t>
  </si>
  <si>
    <r>
      <t xml:space="preserve"> </t>
    </r>
    <r>
      <rPr>
        <sz val="11"/>
        <rFont val="Arial"/>
        <family val="2"/>
        <charset val="238"/>
      </rPr>
      <t>(litar/grlo/godina)</t>
    </r>
  </si>
  <si>
    <t>Mlečnost</t>
  </si>
  <si>
    <t xml:space="preserve">Prosečan broj grla u osnov. stadu: </t>
  </si>
  <si>
    <t>Sojina slama</t>
  </si>
  <si>
    <t>Biomasa suncokreta</t>
  </si>
  <si>
    <t xml:space="preserve">  voditi računa pri izboru linija proizvodnje za plan poslovanja,</t>
  </si>
  <si>
    <t xml:space="preserve">* lične preferencije poljoprivrednika prema biljnoj i stočarskoj proizvodnji, kao i priroda radnih </t>
  </si>
  <si>
    <t xml:space="preserve">Podaci o planiranim troškovima mehanizacije se mogu uneti pojedinačno, </t>
  </si>
  <si>
    <t>ili zbirno u vidu procenjene jedinstvene godišnje sume.</t>
  </si>
  <si>
    <t>unetih hraniva prevelika. Isti slučaj je i kod kalkulacije za mleko u poljima F19 i F36.</t>
  </si>
  <si>
    <t>To se dešava kada stopa konverzije hrane odstupa od prihvatljivih standarda, tj. najčešće je količina</t>
  </si>
  <si>
    <t xml:space="preserve">Kamatna stopa se unosi bez obzira da li je varijabilni kapital iz sopstvenih izvora ili iz zajma banke. Ako se </t>
  </si>
  <si>
    <t>koristi sopstveni kapital unosi se visina kamatne stope na štednju u dinarima. U slučaju korišćenja</t>
  </si>
  <si>
    <t>kratkoročnog kredita kod banke unosi se stvarna kamatna stopa u dinarima.</t>
  </si>
  <si>
    <t xml:space="preserve">proizvodnje da se maksimizira ukupna bruto marža na poljoprivrednom gazdinstvu, izjednačava se sa ciljem </t>
  </si>
  <si>
    <t>Osiguranje</t>
  </si>
  <si>
    <r>
      <rPr>
        <b/>
        <sz val="12"/>
        <color theme="1"/>
        <rFont val="Calibri"/>
        <family val="2"/>
        <charset val="238"/>
        <scheme val="minor"/>
      </rPr>
      <t xml:space="preserve">MODEL 1 </t>
    </r>
    <r>
      <rPr>
        <sz val="12"/>
        <color theme="1"/>
        <rFont val="Calibri"/>
        <family val="2"/>
        <charset val="238"/>
        <scheme val="minor"/>
      </rPr>
      <t>- se odnosi samo na ZRNO (žetveni ostaci se zaoravaju)</t>
    </r>
  </si>
  <si>
    <t>Vrsta đubriva</t>
  </si>
  <si>
    <t>Uneta količina</t>
  </si>
  <si>
    <t>J.m.</t>
  </si>
  <si>
    <t>Struktura</t>
  </si>
  <si>
    <t>Ukupno</t>
  </si>
  <si>
    <t>N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</si>
  <si>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</t>
    </r>
    <r>
      <rPr>
        <b/>
        <vertAlign val="subscript"/>
        <sz val="11"/>
        <color theme="1"/>
        <rFont val="Calibri"/>
        <family val="2"/>
        <charset val="238"/>
        <scheme val="minor"/>
      </rPr>
      <t>5</t>
    </r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</si>
  <si>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O</t>
    </r>
  </si>
  <si>
    <t>Stajnjak goveđi zgoreli</t>
  </si>
  <si>
    <t>Godina korišćenja</t>
  </si>
  <si>
    <t>1/2/3</t>
  </si>
  <si>
    <t>- N gubici</t>
  </si>
  <si>
    <t>+ N iz azotofiksacije</t>
  </si>
  <si>
    <t>Prinos soje</t>
  </si>
  <si>
    <t>kg/t</t>
  </si>
  <si>
    <t>Višak/Manjak</t>
  </si>
  <si>
    <t>Učinjeni trošak</t>
  </si>
  <si>
    <t>Realni Trošak min.materija</t>
  </si>
  <si>
    <t>Vrednost min.mat za narednu sezonu</t>
  </si>
  <si>
    <t>Uljana repica</t>
  </si>
  <si>
    <t>Cene mineralnog đubriva</t>
  </si>
  <si>
    <t>MAP 52:12</t>
  </si>
  <si>
    <t>UREA 46%</t>
  </si>
  <si>
    <t>NPK 16:16:16</t>
  </si>
  <si>
    <t>Cena dizel goriva</t>
  </si>
  <si>
    <t>din/litar</t>
  </si>
  <si>
    <t>Dizel</t>
  </si>
  <si>
    <t>IIIa</t>
  </si>
  <si>
    <t>Radovi u njivi, uskladištavanje i sl.</t>
  </si>
  <si>
    <t>Cena 1kg aktivne materije</t>
  </si>
  <si>
    <t>2017/2018</t>
  </si>
  <si>
    <t>NPK 6:12:24</t>
  </si>
  <si>
    <t>NPK 15:15:15</t>
  </si>
  <si>
    <t>UREA 46:0:0</t>
  </si>
  <si>
    <t>KAN 27:0:0</t>
  </si>
  <si>
    <t>AN 33,5:0:0</t>
  </si>
  <si>
    <t>MAP 11:52:0</t>
  </si>
  <si>
    <t>MAP 12:52:0</t>
  </si>
  <si>
    <r>
      <rPr>
        <b/>
        <sz val="12"/>
        <color theme="1"/>
        <rFont val="Calibri"/>
        <family val="2"/>
        <charset val="238"/>
        <scheme val="minor"/>
      </rPr>
      <t>MODEL 2</t>
    </r>
    <r>
      <rPr>
        <sz val="12"/>
        <color theme="1"/>
        <rFont val="Calibri"/>
        <family val="2"/>
        <charset val="238"/>
        <scheme val="minor"/>
      </rPr>
      <t xml:space="preserve"> - se odnosi  na ZRNO + ŽETVENI OSTACI</t>
    </r>
  </si>
  <si>
    <t>P</t>
  </si>
  <si>
    <t>K</t>
  </si>
  <si>
    <r>
      <t xml:space="preserve">Upisati količinu i cenu </t>
    </r>
    <r>
      <rPr>
        <b/>
        <sz val="10"/>
        <rFont val="Arial"/>
        <family val="2"/>
        <charset val="238"/>
      </rPr>
      <t>samo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ako</t>
    </r>
    <r>
      <rPr>
        <sz val="10"/>
        <rFont val="Arial"/>
        <family val="2"/>
        <charset val="238"/>
      </rPr>
      <t xml:space="preserve"> je slama ODNETA sa njive</t>
    </r>
  </si>
  <si>
    <t>BRUTO MARŽA sa balansiranim troškom aktivnih mineralnih materija</t>
  </si>
  <si>
    <t>Bruto  marža I*</t>
  </si>
  <si>
    <t>Uneti godinu korišćenja stajnjaka 1, 2 ili 3 u ćeliju E14</t>
  </si>
  <si>
    <r>
      <t xml:space="preserve">Upisati količinu i cenu </t>
    </r>
    <r>
      <rPr>
        <b/>
        <sz val="10"/>
        <rFont val="Arial"/>
        <family val="2"/>
        <charset val="238"/>
      </rPr>
      <t>samo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ako</t>
    </r>
    <r>
      <rPr>
        <sz val="10"/>
        <rFont val="Arial"/>
        <family val="2"/>
        <charset val="238"/>
      </rPr>
      <t xml:space="preserve"> je kukuruzovina ODNETA sa njive</t>
    </r>
  </si>
  <si>
    <t>Prinos kukuruza</t>
  </si>
  <si>
    <t>ODNETE mineralne materije</t>
  </si>
  <si>
    <t>OBAVEZNO uneti godišnju potrošnju dizel goriva na gazdinstvu</t>
  </si>
  <si>
    <t>OBAVEZNO upisati cenu</t>
  </si>
  <si>
    <t>Balansirane količine aktivnih mineralnih materija</t>
  </si>
  <si>
    <t>Odneto sa prinosom</t>
  </si>
  <si>
    <t>po principu uneto = odneto.</t>
  </si>
  <si>
    <t xml:space="preserve"> Višak / manjak</t>
  </si>
  <si>
    <t>Uneti drugo đubrivo sa NPK sadržajem</t>
  </si>
  <si>
    <t>Preporučuje se upotreba đubriva sa sadržajem Sumpora</t>
  </si>
  <si>
    <t>5. ULJANA REPICA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</si>
  <si>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uljane repice na 1 ha</t>
    </r>
  </si>
  <si>
    <t>Rezime kalkulacije bruto marže proizvodnje uljane repice na 1 ha</t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</si>
  <si>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uljane repice</t>
    </r>
  </si>
  <si>
    <t>Prinos uljane repice</t>
  </si>
  <si>
    <t>Prinos suncokreta</t>
  </si>
  <si>
    <t>Prinos pšenice</t>
  </si>
  <si>
    <t>Prinos šećerne repe</t>
  </si>
  <si>
    <t>6. ŠEĆERNA REPA</t>
  </si>
  <si>
    <t>Prinos ječma</t>
  </si>
  <si>
    <t>7. JEČAM</t>
  </si>
  <si>
    <r>
      <rPr>
        <sz val="11"/>
        <rFont val="Arial"/>
        <family val="2"/>
        <charset val="238"/>
      </rPr>
      <t>Naziv:</t>
    </r>
    <r>
      <rPr>
        <b/>
        <sz val="11"/>
        <rFont val="Arial"/>
        <family val="2"/>
        <charset val="238"/>
      </rPr>
      <t xml:space="preserve"> Kalkulacija bruto marže proizvodnje ječma na 1 ha</t>
    </r>
  </si>
  <si>
    <t>Rezime kalkulacije bruto marže proizvodnje ječma na 1 ha</t>
  </si>
  <si>
    <r>
      <t xml:space="preserve">Analiza osetljivosti </t>
    </r>
    <r>
      <rPr>
        <sz val="11"/>
        <rFont val="Arial"/>
        <family val="2"/>
        <charset val="238"/>
      </rPr>
      <t>rezultata kalkulacije bruto marže u proizvodnji ječma</t>
    </r>
  </si>
  <si>
    <t>Prinos krompira</t>
  </si>
  <si>
    <t>8. KROMPIR</t>
  </si>
  <si>
    <t>NPK 8:16:24</t>
  </si>
  <si>
    <t>Prinos lucerke</t>
  </si>
  <si>
    <t>NPK 20:5:20</t>
  </si>
  <si>
    <t>a) Lontrel 300</t>
  </si>
  <si>
    <t>b) Biscaya</t>
  </si>
  <si>
    <t xml:space="preserve">c) </t>
  </si>
  <si>
    <t>Odneto sa prinosom i žetvenim ostacima</t>
  </si>
  <si>
    <t>npk 10:10:10</t>
  </si>
  <si>
    <t>Lucerka</t>
  </si>
  <si>
    <t>Žetveni ostaci</t>
  </si>
  <si>
    <t>Za prosečan godišnji efekat stajnjaka u ćeliji D16 navedeno je 20%</t>
  </si>
  <si>
    <t>5.Uljana repica</t>
  </si>
  <si>
    <t>6.Šećerna repa</t>
  </si>
  <si>
    <t>7.Ječam</t>
  </si>
  <si>
    <t>8.Krompir</t>
  </si>
  <si>
    <t>9.Lucerka</t>
  </si>
  <si>
    <t>10.Tov svinja</t>
  </si>
  <si>
    <t>12.Tov pilića</t>
  </si>
  <si>
    <t>11.Mleko</t>
  </si>
  <si>
    <t>12. TOV PILIĆA</t>
  </si>
  <si>
    <t>11. KRAVLJE MLEKO</t>
  </si>
  <si>
    <t>10. TOV SVINJA</t>
  </si>
  <si>
    <t>9. LUCERKA</t>
  </si>
  <si>
    <t xml:space="preserve">Potrebno je uneti i planiranu ukupnu godišnju količinu dizel goriva za gazdinstvo, kako bi se u obrascima </t>
  </si>
  <si>
    <t>kalkulacija mogli obračunati troškovi održavanja mehanizacije.</t>
  </si>
  <si>
    <t xml:space="preserve">Verzija KBM 1.2 modela obrazaca za izradu kalkulacija bruto marže rezultat je saradnje Ekonomskog fakulteta u </t>
  </si>
  <si>
    <t>Subotici i GIZ kancelarije u Srbiji na projektu GMO – free quality Soya from the Danube region.</t>
  </si>
  <si>
    <r>
      <rPr>
        <b/>
        <sz val="10"/>
        <rFont val="Arial"/>
        <family val="2"/>
        <charset val="238"/>
      </rPr>
      <t>Bruto marža sa balansiranim troškovima aktivnih mineralnih materija N, P i K</t>
    </r>
    <r>
      <rPr>
        <sz val="10"/>
        <rFont val="Arial"/>
        <family val="2"/>
        <charset val="238"/>
      </rPr>
      <t xml:space="preserve"> je  jednaka bruto marži </t>
    </r>
  </si>
  <si>
    <t xml:space="preserve">Subvencije se ne unose u prihod u kalkulacijama linija biljne proizvodnje zato što nisu vezane za </t>
  </si>
  <si>
    <t>U kalkulacijama tova svinja i tova pilića postoji mogućnost da ćelija J4 promeni boju u crveno.</t>
  </si>
  <si>
    <t>Neophodan oprez pri upotrebi bruto marže!</t>
  </si>
  <si>
    <t xml:space="preserve">aktivne materije ostaje neiskorišćen. Vrednost neiskorišćene aktivne materije P i K je u takvim godinama </t>
  </si>
  <si>
    <t>ostvarenih rezultata. Kod godina sa prosečnim proizvodnim uslovima nema većih odstupanja između planske</t>
  </si>
  <si>
    <t xml:space="preserve">investicija u sledeću proizvodnu godinu. Obrnuto, u izuzetno rodnim godinama iz zemljišta se sa visokim </t>
  </si>
  <si>
    <t xml:space="preserve">prinosima iznese veća količina aktivnih mineralnih materija od one koja je uneta tokom proizvodnje. </t>
  </si>
  <si>
    <t xml:space="preserve">Posledica toga je da da je bruto marža sa balansiranim troškovima aktivnih mineralnih materija niža od planske </t>
  </si>
  <si>
    <t>i ostvarene bruto marže. U sušnim godinama kada su prinosi ispod prosečno očekivanih značajan deo P i K</t>
  </si>
  <si>
    <t xml:space="preserve">jer se trošak više utošenih količina P i K obračunava u tekućoj godini. Da bi se očuvao isti stepen plodnosti </t>
  </si>
  <si>
    <t>zemljišta naredne godine se mora nadoknaditi razlika u više utrošenim količinama P i K.</t>
  </si>
  <si>
    <t>Obrasci za izradu kalkulacija bruto marži - KBM 1.2</t>
  </si>
  <si>
    <r>
      <t>*</t>
    </r>
    <r>
      <rPr>
        <b/>
        <sz val="11"/>
        <rFont val="Arial"/>
        <family val="2"/>
        <charset val="238"/>
      </rPr>
      <t xml:space="preserve"> Bruto marža I</t>
    </r>
    <r>
      <rPr>
        <sz val="11"/>
        <rFont val="Arial"/>
        <family val="2"/>
        <charset val="238"/>
      </rPr>
      <t xml:space="preserve"> pokazuje finansijski efekat balansiranja količine aktivne mineralne materije u zemljištu,</t>
    </r>
  </si>
  <si>
    <t xml:space="preserve">utvrđene kao razlika: vrednost unete količine N, P i K đubrenjem i vrednosti odnetih količina N, P i K prinosom, </t>
  </si>
  <si>
    <t>a u slučaju odnošenja sa njive i u žetvenim ostacima.</t>
  </si>
  <si>
    <t>U radnom listu "Inputi" treba uneti cene tri tipa mineralnog đubriva, dizel goriva i sve troškove mehanizacije</t>
  </si>
  <si>
    <t>Unos podataka se vrši samo u polja koja su obojena oker bojom</t>
  </si>
  <si>
    <r>
      <rPr>
        <b/>
        <sz val="10"/>
        <rFont val="Arial"/>
        <family val="2"/>
        <charset val="238"/>
      </rPr>
      <t>Kalkulator KBM 1.2</t>
    </r>
    <r>
      <rPr>
        <sz val="10"/>
        <rFont val="Arial"/>
        <family val="2"/>
        <charset val="238"/>
      </rPr>
      <t xml:space="preserve"> se može koristiti za planiranje proizvodnje u narednoj godini, ali i kao alat za merenje </t>
    </r>
  </si>
  <si>
    <t>Uputstvo za upotrebu</t>
  </si>
  <si>
    <t>a) Metmark</t>
  </si>
  <si>
    <t>b) Bumper</t>
  </si>
  <si>
    <t>c) Fury</t>
  </si>
  <si>
    <t>koji se očekuju tokom planske godine. Ovi podaci su neophodni da bi kalkulator funkcionisao.</t>
  </si>
  <si>
    <t>U poljima obojenim zelenom bojom</t>
  </si>
  <si>
    <t xml:space="preserve">prikazane su u polju "višak/manjak" balansirane </t>
  </si>
  <si>
    <t xml:space="preserve">količine aktivnih mineralnih materija N, P i K za očekivani prinos i planirane količine primene đubriva. </t>
  </si>
  <si>
    <t>Cilj je da se u polju "Višak/manjak" postigne iznos 0 kako se ne bi narušila plodnost zemljišta.</t>
  </si>
  <si>
    <t>Poljoprivrednici koji koriste žetvene ostatke mogu da uporede njihovu tržišnu vrednost i vrednost aktivne</t>
  </si>
  <si>
    <t>materije N, P i K koju treba da nadoknade u zemljištu kako bi očuvali plodnost zemljišta.</t>
  </si>
  <si>
    <t>bruto marži bili uporedivi između linija proizvodnje. Na linijama stočarske proizvodnje omogućen je obračun</t>
  </si>
  <si>
    <t>prihoda i varijabilnih troškova za: ukupnu proizvodnju, po grlu i po 1 kg ili litru proizvoda.</t>
  </si>
  <si>
    <t>korigovanoj sa razlikom između vrednosti unetih i vrednosti odnetih aktivnih mineralnih materija.</t>
  </si>
  <si>
    <t>pokazatelj, naročito  u godinama sa iznad prosečnim i ispod prosečnim prinosima.</t>
  </si>
  <si>
    <t>Kod obračuna ovog pokazatelja pošlo se od pretpostavke očuvanja plodnosti poljoprivrednog zemljišta</t>
  </si>
  <si>
    <t xml:space="preserve">budu jednake. Bruto marža sa balansiranim troškovima aktivnih mineralnih materija je značajno precizniji </t>
  </si>
  <si>
    <t xml:space="preserve">i principa da unete i odnete količine aktivnih mineralnih materija u jednoj proizvodnoj godini treba da </t>
  </si>
</sst>
</file>

<file path=xl/styles.xml><?xml version="1.0" encoding="utf-8"?>
<styleSheet xmlns="http://schemas.openxmlformats.org/spreadsheetml/2006/main">
  <numFmts count="14">
    <numFmt numFmtId="164" formatCode="_-* #,##0.00\ _D_i_n_._-;\-* #,##0.00\ _D_i_n_._-;_-* &quot;-&quot;??\ _D_i_n_._-;_-@_-"/>
    <numFmt numFmtId="165" formatCode="#,##0.0"/>
    <numFmt numFmtId="166" formatCode="#,##0.0&quot; t/ha&quot;"/>
    <numFmt numFmtId="167" formatCode="&quot;$&quot;#,##0&quot; /t&quot;"/>
    <numFmt numFmtId="168" formatCode="#,##0\ &quot;din.&quot;"/>
    <numFmt numFmtId="169" formatCode="#,##0\ &quot;Din/l&quot;"/>
    <numFmt numFmtId="170" formatCode="#,##0\ \L\i\t\a\r\a"/>
    <numFmt numFmtId="171" formatCode="#,##0.00\ &quot;Din/l&quot;"/>
    <numFmt numFmtId="172" formatCode="#,##0.0\ &quot;din.&quot;"/>
    <numFmt numFmtId="173" formatCode="#,##0.00\ &quot;din.&quot;"/>
    <numFmt numFmtId="174" formatCode="0.0%"/>
    <numFmt numFmtId="175" formatCode="#,##0_ ;\-#,##0\ "/>
    <numFmt numFmtId="176" formatCode="0.0"/>
    <numFmt numFmtId="177" formatCode="#,##0.0_ ;\-#,##0.0\ "/>
  </numFmts>
  <fonts count="30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u/>
      <sz val="12"/>
      <color theme="10"/>
      <name val="Arial"/>
      <family val="2"/>
      <charset val="238"/>
    </font>
    <font>
      <b/>
      <sz val="11"/>
      <color rgb="FF002060"/>
      <name val="Arial"/>
      <family val="2"/>
      <charset val="238"/>
    </font>
    <font>
      <b/>
      <sz val="18"/>
      <color theme="3" tint="-0.249977111117893"/>
      <name val="Arial"/>
      <family val="2"/>
      <charset val="238"/>
    </font>
    <font>
      <sz val="11"/>
      <color indexed="18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theme="0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name val="Arial"/>
      <family val="2"/>
      <charset val="238"/>
    </font>
    <font>
      <sz val="11"/>
      <color theme="1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2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333399"/>
      </bottom>
      <diagonal/>
    </border>
    <border>
      <left/>
      <right/>
      <top style="medium">
        <color rgb="FF333399"/>
      </top>
      <bottom style="medium">
        <color rgb="FF333399"/>
      </bottom>
      <diagonal/>
    </border>
    <border>
      <left/>
      <right/>
      <top style="medium">
        <color rgb="FF333399"/>
      </top>
      <bottom style="thick">
        <color rgb="FF333399"/>
      </bottom>
      <diagonal/>
    </border>
    <border>
      <left/>
      <right/>
      <top style="thick">
        <color rgb="FF333399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2"/>
      </top>
      <bottom style="thick">
        <color indexed="62"/>
      </bottom>
      <diagonal/>
    </border>
    <border>
      <left/>
      <right/>
      <top style="medium">
        <color rgb="FF333399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45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NumberFormat="1" applyFont="1" applyAlignment="1">
      <alignment horizontal="center"/>
    </xf>
    <xf numFmtId="0" fontId="3" fillId="0" borderId="2" xfId="0" applyFont="1" applyBorder="1"/>
    <xf numFmtId="3" fontId="3" fillId="0" borderId="2" xfId="0" applyNumberFormat="1" applyFont="1" applyBorder="1"/>
    <xf numFmtId="3" fontId="3" fillId="0" borderId="0" xfId="0" applyNumberFormat="1" applyFont="1"/>
    <xf numFmtId="3" fontId="3" fillId="0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3" fontId="0" fillId="3" borderId="0" xfId="0" applyNumberFormat="1" applyFill="1"/>
    <xf numFmtId="168" fontId="0" fillId="0" borderId="0" xfId="0" applyNumberFormat="1"/>
    <xf numFmtId="169" fontId="0" fillId="0" borderId="0" xfId="0" applyNumberFormat="1"/>
    <xf numFmtId="0" fontId="4" fillId="3" borderId="0" xfId="0" applyFont="1" applyFill="1"/>
    <xf numFmtId="0" fontId="4" fillId="2" borderId="0" xfId="0" applyFont="1" applyFill="1" applyAlignment="1">
      <alignment horizontal="justify"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168" fontId="6" fillId="4" borderId="15" xfId="0" applyNumberFormat="1" applyFont="1" applyFill="1" applyBorder="1"/>
    <xf numFmtId="0" fontId="6" fillId="0" borderId="0" xfId="0" applyFont="1"/>
    <xf numFmtId="0" fontId="6" fillId="0" borderId="0" xfId="0" applyFont="1" applyBorder="1"/>
    <xf numFmtId="1" fontId="3" fillId="0" borderId="0" xfId="0" applyNumberFormat="1" applyFont="1"/>
    <xf numFmtId="0" fontId="6" fillId="0" borderId="13" xfId="0" applyFont="1" applyBorder="1" applyAlignment="1">
      <alignment horizontal="center"/>
    </xf>
    <xf numFmtId="0" fontId="6" fillId="0" borderId="0" xfId="0" applyFont="1" applyFill="1" applyAlignment="1"/>
    <xf numFmtId="1" fontId="6" fillId="0" borderId="13" xfId="0" applyNumberFormat="1" applyFont="1" applyFill="1" applyBorder="1" applyAlignment="1">
      <alignment wrapText="1"/>
    </xf>
    <xf numFmtId="1" fontId="6" fillId="0" borderId="0" xfId="0" applyNumberFormat="1" applyFont="1" applyFill="1" applyAlignment="1">
      <alignment wrapText="1"/>
    </xf>
    <xf numFmtId="0" fontId="6" fillId="0" borderId="2" xfId="0" applyFont="1" applyBorder="1"/>
    <xf numFmtId="1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/>
    <xf numFmtId="1" fontId="3" fillId="0" borderId="0" xfId="0" applyNumberFormat="1" applyFont="1" applyAlignment="1">
      <alignment horizontal="center"/>
    </xf>
    <xf numFmtId="168" fontId="3" fillId="0" borderId="0" xfId="0" applyNumberFormat="1" applyFont="1" applyBorder="1"/>
    <xf numFmtId="0" fontId="3" fillId="4" borderId="14" xfId="0" applyNumberFormat="1" applyFont="1" applyFill="1" applyBorder="1" applyAlignment="1">
      <alignment horizontal="center"/>
    </xf>
    <xf numFmtId="0" fontId="6" fillId="4" borderId="14" xfId="0" applyFont="1" applyFill="1" applyBorder="1"/>
    <xf numFmtId="1" fontId="3" fillId="4" borderId="14" xfId="0" applyNumberFormat="1" applyFont="1" applyFill="1" applyBorder="1" applyAlignment="1">
      <alignment horizontal="center"/>
    </xf>
    <xf numFmtId="3" fontId="3" fillId="4" borderId="14" xfId="0" applyNumberFormat="1" applyFont="1" applyFill="1" applyBorder="1"/>
    <xf numFmtId="0" fontId="3" fillId="4" borderId="14" xfId="0" applyFont="1" applyFill="1" applyBorder="1"/>
    <xf numFmtId="168" fontId="6" fillId="4" borderId="14" xfId="0" applyNumberFormat="1" applyFont="1" applyFill="1" applyBorder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8" fontId="3" fillId="0" borderId="0" xfId="0" applyNumberFormat="1" applyFont="1"/>
    <xf numFmtId="165" fontId="5" fillId="3" borderId="0" xfId="0" applyNumberFormat="1" applyFont="1" applyFill="1"/>
    <xf numFmtId="3" fontId="3" fillId="3" borderId="0" xfId="0" applyNumberFormat="1" applyFont="1" applyFill="1"/>
    <xf numFmtId="0" fontId="3" fillId="3" borderId="0" xfId="0" applyFont="1" applyFill="1" applyAlignment="1">
      <alignment horizontal="left"/>
    </xf>
    <xf numFmtId="0" fontId="3" fillId="0" borderId="0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3" fillId="0" borderId="0" xfId="0" applyNumberFormat="1" applyFont="1" applyFill="1" applyBorder="1" applyAlignment="1">
      <alignment horizontal="center"/>
    </xf>
    <xf numFmtId="3" fontId="6" fillId="4" borderId="14" xfId="0" applyNumberFormat="1" applyFont="1" applyFill="1" applyBorder="1" applyAlignment="1"/>
    <xf numFmtId="0" fontId="6" fillId="0" borderId="6" xfId="0" applyFont="1" applyBorder="1"/>
    <xf numFmtId="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8" fillId="0" borderId="0" xfId="2" applyNumberFormat="1" applyFont="1" applyFill="1" applyBorder="1" applyAlignment="1"/>
    <xf numFmtId="3" fontId="6" fillId="0" borderId="0" xfId="0" applyNumberFormat="1" applyFont="1" applyFill="1" applyBorder="1"/>
    <xf numFmtId="0" fontId="1" fillId="0" borderId="0" xfId="0" applyFont="1" applyFill="1"/>
    <xf numFmtId="1" fontId="3" fillId="0" borderId="0" xfId="0" applyNumberFormat="1" applyFont="1" applyFill="1" applyAlignment="1">
      <alignment horizontal="center"/>
    </xf>
    <xf numFmtId="0" fontId="3" fillId="3" borderId="0" xfId="0" applyFont="1" applyFill="1"/>
    <xf numFmtId="0" fontId="3" fillId="0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>
      <alignment horizontal="left" indent="4"/>
    </xf>
    <xf numFmtId="0" fontId="6" fillId="4" borderId="15" xfId="0" applyFont="1" applyFill="1" applyBorder="1" applyAlignment="1">
      <alignment horizontal="center"/>
    </xf>
    <xf numFmtId="0" fontId="6" fillId="4" borderId="15" xfId="0" applyFont="1" applyFill="1" applyBorder="1"/>
    <xf numFmtId="0" fontId="3" fillId="4" borderId="15" xfId="0" applyFont="1" applyFill="1" applyBorder="1"/>
    <xf numFmtId="3" fontId="3" fillId="4" borderId="15" xfId="0" applyNumberFormat="1" applyFont="1" applyFill="1" applyBorder="1"/>
    <xf numFmtId="0" fontId="6" fillId="0" borderId="16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3" fontId="6" fillId="4" borderId="15" xfId="0" applyNumberFormat="1" applyFont="1" applyFill="1" applyBorder="1"/>
    <xf numFmtId="3" fontId="8" fillId="0" borderId="0" xfId="0" applyNumberFormat="1" applyFont="1" applyBorder="1" applyAlignment="1"/>
    <xf numFmtId="0" fontId="6" fillId="0" borderId="7" xfId="0" applyFont="1" applyBorder="1"/>
    <xf numFmtId="3" fontId="8" fillId="0" borderId="1" xfId="0" applyNumberFormat="1" applyFont="1" applyBorder="1" applyAlignment="1"/>
    <xf numFmtId="0" fontId="4" fillId="2" borderId="0" xfId="0" applyFont="1" applyFill="1" applyAlignment="1"/>
    <xf numFmtId="0" fontId="9" fillId="0" borderId="0" xfId="0" applyFont="1"/>
    <xf numFmtId="3" fontId="3" fillId="3" borderId="2" xfId="0" applyNumberFormat="1" applyFont="1" applyFill="1" applyBorder="1"/>
    <xf numFmtId="3" fontId="3" fillId="0" borderId="0" xfId="0" applyNumberFormat="1" applyFont="1" applyBorder="1"/>
    <xf numFmtId="3" fontId="3" fillId="0" borderId="9" xfId="0" applyNumberFormat="1" applyFont="1" applyBorder="1"/>
    <xf numFmtId="3" fontId="3" fillId="0" borderId="1" xfId="0" applyNumberFormat="1" applyFont="1" applyBorder="1"/>
    <xf numFmtId="3" fontId="3" fillId="0" borderId="12" xfId="0" applyNumberFormat="1" applyFont="1" applyBorder="1"/>
    <xf numFmtId="3" fontId="3" fillId="0" borderId="0" xfId="0" applyNumberFormat="1" applyFont="1" applyFill="1" applyBorder="1"/>
    <xf numFmtId="0" fontId="6" fillId="0" borderId="13" xfId="0" applyFont="1" applyBorder="1"/>
    <xf numFmtId="0" fontId="3" fillId="0" borderId="13" xfId="0" applyFont="1" applyBorder="1"/>
    <xf numFmtId="3" fontId="3" fillId="0" borderId="9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Border="1"/>
    <xf numFmtId="165" fontId="8" fillId="0" borderId="9" xfId="0" applyNumberFormat="1" applyFont="1" applyBorder="1"/>
    <xf numFmtId="3" fontId="3" fillId="0" borderId="1" xfId="0" applyNumberFormat="1" applyFont="1" applyFill="1" applyBorder="1"/>
    <xf numFmtId="0" fontId="6" fillId="0" borderId="0" xfId="0" applyFont="1" applyFill="1" applyBorder="1"/>
    <xf numFmtId="0" fontId="3" fillId="0" borderId="0" xfId="0" applyFont="1" applyFill="1" applyBorder="1"/>
    <xf numFmtId="0" fontId="6" fillId="3" borderId="13" xfId="0" applyNumberFormat="1" applyFont="1" applyFill="1" applyBorder="1"/>
    <xf numFmtId="165" fontId="3" fillId="3" borderId="0" xfId="0" applyNumberFormat="1" applyFont="1" applyFill="1"/>
    <xf numFmtId="0" fontId="6" fillId="2" borderId="0" xfId="0" applyFont="1" applyFill="1" applyAlignment="1">
      <alignment horizontal="justify" wrapText="1"/>
    </xf>
    <xf numFmtId="9" fontId="3" fillId="0" borderId="2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3" xfId="0" applyFont="1" applyBorder="1"/>
    <xf numFmtId="0" fontId="3" fillId="0" borderId="3" xfId="0" applyFont="1" applyBorder="1"/>
    <xf numFmtId="3" fontId="10" fillId="0" borderId="0" xfId="2" applyNumberFormat="1" applyFont="1" applyBorder="1"/>
    <xf numFmtId="0" fontId="10" fillId="0" borderId="0" xfId="2" applyFont="1" applyFill="1" applyBorder="1" applyAlignment="1">
      <alignment horizontal="left" indent="2"/>
    </xf>
    <xf numFmtId="0" fontId="3" fillId="0" borderId="0" xfId="2" applyFont="1" applyBorder="1"/>
    <xf numFmtId="9" fontId="10" fillId="0" borderId="0" xfId="2" applyNumberFormat="1" applyFont="1" applyFill="1" applyBorder="1" applyAlignment="1">
      <alignment horizontal="right" indent="2"/>
    </xf>
    <xf numFmtId="0" fontId="10" fillId="0" borderId="0" xfId="2" applyFont="1" applyFill="1" applyBorder="1" applyAlignment="1">
      <alignment horizontal="right" indent="2"/>
    </xf>
    <xf numFmtId="167" fontId="10" fillId="0" borderId="0" xfId="2" applyNumberFormat="1" applyFont="1" applyFill="1" applyBorder="1" applyAlignment="1">
      <alignment horizontal="right" indent="2"/>
    </xf>
    <xf numFmtId="0" fontId="10" fillId="0" borderId="0" xfId="2" applyFont="1" applyBorder="1" applyAlignment="1">
      <alignment horizontal="right"/>
    </xf>
    <xf numFmtId="9" fontId="10" fillId="0" borderId="0" xfId="2" applyNumberFormat="1" applyFont="1" applyFill="1" applyBorder="1" applyAlignment="1">
      <alignment horizontal="center"/>
    </xf>
    <xf numFmtId="166" fontId="10" fillId="0" borderId="0" xfId="2" applyNumberFormat="1" applyFont="1" applyFill="1" applyBorder="1" applyAlignment="1">
      <alignment horizontal="left" indent="2"/>
    </xf>
    <xf numFmtId="1" fontId="10" fillId="0" borderId="0" xfId="2" applyNumberFormat="1" applyFont="1" applyFill="1" applyBorder="1" applyAlignment="1"/>
    <xf numFmtId="0" fontId="10" fillId="0" borderId="0" xfId="2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5" fillId="3" borderId="0" xfId="0" applyNumberFormat="1" applyFont="1" applyFill="1"/>
    <xf numFmtId="4" fontId="3" fillId="3" borderId="0" xfId="0" applyNumberFormat="1" applyFont="1" applyFill="1"/>
    <xf numFmtId="0" fontId="3" fillId="0" borderId="2" xfId="0" applyFont="1" applyFill="1" applyBorder="1"/>
    <xf numFmtId="0" fontId="6" fillId="0" borderId="0" xfId="0" applyFont="1" applyFill="1" applyAlignment="1">
      <alignment wrapText="1"/>
    </xf>
    <xf numFmtId="0" fontId="3" fillId="4" borderId="0" xfId="0" applyNumberFormat="1" applyFont="1" applyFill="1" applyAlignment="1">
      <alignment horizontal="center"/>
    </xf>
    <xf numFmtId="0" fontId="6" fillId="4" borderId="0" xfId="0" applyFont="1" applyFill="1"/>
    <xf numFmtId="3" fontId="3" fillId="4" borderId="0" xfId="0" applyNumberFormat="1" applyFont="1" applyFill="1"/>
    <xf numFmtId="0" fontId="3" fillId="4" borderId="0" xfId="0" applyFont="1" applyFill="1"/>
    <xf numFmtId="0" fontId="6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3" fontId="3" fillId="0" borderId="12" xfId="0" applyNumberFormat="1" applyFont="1" applyFill="1" applyBorder="1"/>
    <xf numFmtId="0" fontId="6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68" fontId="6" fillId="4" borderId="0" xfId="0" applyNumberFormat="1" applyFont="1" applyFill="1"/>
    <xf numFmtId="3" fontId="8" fillId="0" borderId="0" xfId="2" applyNumberFormat="1" applyFont="1" applyFill="1" applyBorder="1" applyAlignment="1">
      <alignment horizontal="center"/>
    </xf>
    <xf numFmtId="3" fontId="8" fillId="0" borderId="1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3" fillId="2" borderId="0" xfId="0" applyFont="1" applyFill="1"/>
    <xf numFmtId="4" fontId="3" fillId="0" borderId="0" xfId="0" applyNumberFormat="1" applyFont="1"/>
    <xf numFmtId="3" fontId="3" fillId="3" borderId="0" xfId="0" applyNumberFormat="1" applyFont="1" applyFill="1" applyBorder="1"/>
    <xf numFmtId="3" fontId="12" fillId="0" borderId="1" xfId="2" applyNumberFormat="1" applyFont="1" applyFill="1" applyBorder="1"/>
    <xf numFmtId="165" fontId="3" fillId="3" borderId="2" xfId="0" applyNumberFormat="1" applyFont="1" applyFill="1" applyBorder="1"/>
    <xf numFmtId="49" fontId="1" fillId="0" borderId="0" xfId="0" applyNumberFormat="1" applyFont="1" applyFill="1" applyAlignment="1">
      <alignment wrapText="1"/>
    </xf>
    <xf numFmtId="1" fontId="3" fillId="0" borderId="0" xfId="0" applyNumberFormat="1" applyFont="1" applyBorder="1" applyAlignment="1">
      <alignment horizontal="center"/>
    </xf>
    <xf numFmtId="9" fontId="3" fillId="3" borderId="8" xfId="0" applyNumberFormat="1" applyFont="1" applyFill="1" applyBorder="1" applyAlignment="1">
      <alignment horizontal="center"/>
    </xf>
    <xf numFmtId="9" fontId="3" fillId="3" borderId="11" xfId="0" applyNumberFormat="1" applyFont="1" applyFill="1" applyBorder="1" applyAlignment="1">
      <alignment horizontal="center"/>
    </xf>
    <xf numFmtId="9" fontId="3" fillId="3" borderId="0" xfId="0" applyNumberFormat="1" applyFont="1" applyFill="1" applyBorder="1" applyAlignment="1">
      <alignment horizontal="center"/>
    </xf>
    <xf numFmtId="9" fontId="3" fillId="3" borderId="9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right"/>
    </xf>
    <xf numFmtId="165" fontId="3" fillId="3" borderId="0" xfId="1" applyNumberFormat="1" applyFont="1" applyFill="1" applyBorder="1" applyAlignment="1">
      <alignment horizontal="right"/>
    </xf>
    <xf numFmtId="165" fontId="3" fillId="3" borderId="0" xfId="0" applyNumberFormat="1" applyFont="1" applyFill="1" applyAlignment="1">
      <alignment horizontal="right"/>
    </xf>
    <xf numFmtId="0" fontId="6" fillId="0" borderId="0" xfId="0" applyFont="1" applyBorder="1" applyAlignment="1">
      <alignment horizontal="center"/>
    </xf>
    <xf numFmtId="0" fontId="1" fillId="5" borderId="0" xfId="0" applyFont="1" applyFill="1"/>
    <xf numFmtId="0" fontId="3" fillId="7" borderId="0" xfId="0" applyFont="1" applyFill="1" applyAlignment="1"/>
    <xf numFmtId="0" fontId="3" fillId="7" borderId="0" xfId="0" applyFont="1" applyFill="1"/>
    <xf numFmtId="168" fontId="3" fillId="0" borderId="0" xfId="0" applyNumberFormat="1" applyFont="1" applyFill="1"/>
    <xf numFmtId="3" fontId="5" fillId="0" borderId="0" xfId="0" applyNumberFormat="1" applyFont="1" applyFill="1"/>
    <xf numFmtId="165" fontId="3" fillId="0" borderId="0" xfId="0" applyNumberFormat="1" applyFont="1" applyFill="1"/>
    <xf numFmtId="0" fontId="3" fillId="0" borderId="13" xfId="0" applyFont="1" applyFill="1" applyBorder="1"/>
    <xf numFmtId="172" fontId="3" fillId="0" borderId="0" xfId="0" applyNumberFormat="1" applyFont="1" applyBorder="1"/>
    <xf numFmtId="173" fontId="3" fillId="0" borderId="0" xfId="0" applyNumberFormat="1" applyFont="1" applyBorder="1"/>
    <xf numFmtId="172" fontId="6" fillId="4" borderId="14" xfId="0" applyNumberFormat="1" applyFont="1" applyFill="1" applyBorder="1"/>
    <xf numFmtId="173" fontId="6" fillId="4" borderId="14" xfId="0" applyNumberFormat="1" applyFont="1" applyFill="1" applyBorder="1"/>
    <xf numFmtId="0" fontId="1" fillId="8" borderId="0" xfId="0" applyFont="1" applyFill="1" applyAlignment="1"/>
    <xf numFmtId="10" fontId="0" fillId="0" borderId="0" xfId="0" applyNumberFormat="1"/>
    <xf numFmtId="0" fontId="14" fillId="0" borderId="0" xfId="0" applyFont="1"/>
    <xf numFmtId="0" fontId="15" fillId="0" borderId="0" xfId="0" applyFont="1"/>
    <xf numFmtId="165" fontId="3" fillId="0" borderId="0" xfId="0" applyNumberFormat="1" applyFont="1"/>
    <xf numFmtId="170" fontId="6" fillId="0" borderId="0" xfId="0" applyNumberFormat="1" applyFont="1"/>
    <xf numFmtId="171" fontId="6" fillId="0" borderId="0" xfId="0" applyNumberFormat="1" applyFont="1"/>
    <xf numFmtId="172" fontId="3" fillId="0" borderId="0" xfId="0" applyNumberFormat="1" applyFont="1"/>
    <xf numFmtId="173" fontId="3" fillId="0" borderId="0" xfId="0" applyNumberFormat="1" applyFont="1"/>
    <xf numFmtId="173" fontId="3" fillId="0" borderId="0" xfId="0" applyNumberFormat="1" applyFont="1" applyFill="1"/>
    <xf numFmtId="0" fontId="3" fillId="0" borderId="0" xfId="0" applyFont="1" applyFill="1" applyAlignment="1">
      <alignment horizontal="left"/>
    </xf>
    <xf numFmtId="9" fontId="3" fillId="3" borderId="0" xfId="0" applyNumberFormat="1" applyFont="1" applyFill="1"/>
    <xf numFmtId="2" fontId="3" fillId="0" borderId="0" xfId="0" applyNumberFormat="1" applyFont="1"/>
    <xf numFmtId="4" fontId="16" fillId="0" borderId="0" xfId="0" applyNumberFormat="1" applyFont="1"/>
    <xf numFmtId="4" fontId="16" fillId="0" borderId="0" xfId="0" applyNumberFormat="1" applyFont="1" applyFill="1"/>
    <xf numFmtId="0" fontId="3" fillId="6" borderId="0" xfId="0" applyFont="1" applyFill="1"/>
    <xf numFmtId="0" fontId="1" fillId="8" borderId="0" xfId="0" applyFont="1" applyFill="1" applyAlignment="1">
      <alignment horizontal="center"/>
    </xf>
    <xf numFmtId="0" fontId="6" fillId="3" borderId="0" xfId="0" applyFont="1" applyFill="1"/>
    <xf numFmtId="172" fontId="6" fillId="4" borderId="15" xfId="0" applyNumberFormat="1" applyFont="1" applyFill="1" applyBorder="1"/>
    <xf numFmtId="173" fontId="6" fillId="4" borderId="15" xfId="0" applyNumberFormat="1" applyFont="1" applyFill="1" applyBorder="1"/>
    <xf numFmtId="0" fontId="6" fillId="4" borderId="14" xfId="0" applyFont="1" applyFill="1" applyBorder="1" applyAlignment="1"/>
    <xf numFmtId="0" fontId="6" fillId="0" borderId="16" xfId="0" applyFont="1" applyFill="1" applyBorder="1" applyAlignment="1">
      <alignment wrapText="1"/>
    </xf>
    <xf numFmtId="0" fontId="6" fillId="4" borderId="18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center"/>
    </xf>
    <xf numFmtId="168" fontId="6" fillId="4" borderId="18" xfId="0" applyNumberFormat="1" applyFont="1" applyFill="1" applyBorder="1"/>
    <xf numFmtId="3" fontId="6" fillId="4" borderId="14" xfId="0" applyNumberFormat="1" applyFont="1" applyFill="1" applyBorder="1"/>
    <xf numFmtId="3" fontId="6" fillId="4" borderId="0" xfId="0" applyNumberFormat="1" applyFont="1" applyFill="1"/>
    <xf numFmtId="3" fontId="6" fillId="4" borderId="18" xfId="0" applyNumberFormat="1" applyFont="1" applyFill="1" applyBorder="1"/>
    <xf numFmtId="0" fontId="3" fillId="0" borderId="0" xfId="0" applyFont="1" applyFill="1" applyAlignment="1">
      <alignment horizontal="left" indent="2"/>
    </xf>
    <xf numFmtId="0" fontId="3" fillId="0" borderId="9" xfId="0" applyFont="1" applyBorder="1"/>
    <xf numFmtId="0" fontId="6" fillId="0" borderId="10" xfId="0" applyFont="1" applyBorder="1" applyAlignment="1"/>
    <xf numFmtId="3" fontId="3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9" fontId="3" fillId="3" borderId="17" xfId="0" applyNumberFormat="1" applyFont="1" applyFill="1" applyBorder="1" applyAlignment="1">
      <alignment horizontal="center"/>
    </xf>
    <xf numFmtId="9" fontId="12" fillId="3" borderId="11" xfId="2" applyNumberFormat="1" applyFont="1" applyFill="1" applyBorder="1" applyAlignment="1">
      <alignment horizontal="center"/>
    </xf>
    <xf numFmtId="170" fontId="4" fillId="3" borderId="0" xfId="0" applyNumberFormat="1" applyFont="1" applyFill="1"/>
    <xf numFmtId="4" fontId="6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168" fontId="3" fillId="0" borderId="0" xfId="0" applyNumberFormat="1" applyFont="1" applyFill="1" applyBorder="1"/>
    <xf numFmtId="165" fontId="3" fillId="3" borderId="0" xfId="0" applyNumberFormat="1" applyFont="1" applyFill="1" applyBorder="1"/>
    <xf numFmtId="0" fontId="3" fillId="4" borderId="18" xfId="0" applyFont="1" applyFill="1" applyBorder="1"/>
    <xf numFmtId="0" fontId="6" fillId="0" borderId="0" xfId="0" applyNumberFormat="1" applyFont="1" applyFill="1" applyBorder="1"/>
    <xf numFmtId="175" fontId="3" fillId="3" borderId="2" xfId="1" applyNumberFormat="1" applyFont="1" applyFill="1" applyBorder="1" applyAlignment="1"/>
    <xf numFmtId="1" fontId="6" fillId="3" borderId="0" xfId="0" applyNumberFormat="1" applyFont="1" applyFill="1" applyBorder="1"/>
    <xf numFmtId="0" fontId="6" fillId="4" borderId="19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 indent="1"/>
    </xf>
    <xf numFmtId="0" fontId="6" fillId="3" borderId="13" xfId="0" applyFont="1" applyFill="1" applyBorder="1"/>
    <xf numFmtId="0" fontId="3" fillId="0" borderId="14" xfId="0" applyFont="1" applyBorder="1"/>
    <xf numFmtId="3" fontId="6" fillId="3" borderId="14" xfId="0" applyNumberFormat="1" applyFont="1" applyFill="1" applyBorder="1"/>
    <xf numFmtId="175" fontId="3" fillId="3" borderId="0" xfId="1" applyNumberFormat="1" applyFont="1" applyFill="1" applyBorder="1" applyAlignment="1"/>
    <xf numFmtId="2" fontId="6" fillId="0" borderId="0" xfId="0" applyNumberFormat="1" applyFont="1"/>
    <xf numFmtId="165" fontId="6" fillId="0" borderId="0" xfId="0" applyNumberFormat="1" applyFont="1" applyFill="1"/>
    <xf numFmtId="174" fontId="3" fillId="3" borderId="0" xfId="0" applyNumberFormat="1" applyFont="1" applyFill="1"/>
    <xf numFmtId="174" fontId="6" fillId="0" borderId="0" xfId="0" applyNumberFormat="1" applyFont="1" applyFill="1" applyBorder="1"/>
    <xf numFmtId="4" fontId="6" fillId="0" borderId="0" xfId="0" applyNumberFormat="1" applyFont="1"/>
    <xf numFmtId="3" fontId="6" fillId="3" borderId="0" xfId="0" applyNumberFormat="1" applyFont="1" applyFill="1" applyBorder="1"/>
    <xf numFmtId="165" fontId="6" fillId="3" borderId="0" xfId="0" applyNumberFormat="1" applyFont="1" applyFill="1" applyBorder="1"/>
    <xf numFmtId="165" fontId="3" fillId="0" borderId="0" xfId="0" applyNumberFormat="1" applyFont="1" applyFill="1" applyBorder="1"/>
    <xf numFmtId="172" fontId="3" fillId="0" borderId="2" xfId="0" applyNumberFormat="1" applyFont="1" applyBorder="1"/>
    <xf numFmtId="165" fontId="6" fillId="4" borderId="14" xfId="0" applyNumberFormat="1" applyFont="1" applyFill="1" applyBorder="1" applyAlignment="1"/>
    <xf numFmtId="165" fontId="6" fillId="4" borderId="15" xfId="0" applyNumberFormat="1" applyFont="1" applyFill="1" applyBorder="1"/>
    <xf numFmtId="165" fontId="8" fillId="0" borderId="0" xfId="2" applyNumberFormat="1" applyFont="1" applyFill="1" applyBorder="1" applyAlignment="1"/>
    <xf numFmtId="165" fontId="8" fillId="0" borderId="0" xfId="0" applyNumberFormat="1" applyFont="1" applyBorder="1" applyAlignment="1"/>
    <xf numFmtId="165" fontId="8" fillId="0" borderId="1" xfId="0" applyNumberFormat="1" applyFont="1" applyBorder="1" applyAlignment="1"/>
    <xf numFmtId="3" fontId="8" fillId="0" borderId="0" xfId="0" applyNumberFormat="1" applyFont="1" applyFill="1" applyBorder="1"/>
    <xf numFmtId="3" fontId="8" fillId="0" borderId="0" xfId="0" applyNumberFormat="1" applyFont="1" applyBorder="1"/>
    <xf numFmtId="3" fontId="8" fillId="0" borderId="9" xfId="0" applyNumberFormat="1" applyFont="1" applyBorder="1"/>
    <xf numFmtId="165" fontId="8" fillId="0" borderId="0" xfId="0" applyNumberFormat="1" applyFont="1" applyFill="1" applyBorder="1" applyAlignment="1">
      <alignment horizontal="right" vertical="center"/>
    </xf>
    <xf numFmtId="165" fontId="8" fillId="0" borderId="9" xfId="0" applyNumberFormat="1" applyFont="1" applyFill="1" applyBorder="1" applyAlignment="1">
      <alignment horizontal="right" vertical="center"/>
    </xf>
    <xf numFmtId="0" fontId="19" fillId="0" borderId="0" xfId="3" applyFont="1" applyAlignment="1" applyProtection="1"/>
    <xf numFmtId="49" fontId="3" fillId="0" borderId="0" xfId="0" applyNumberFormat="1" applyFont="1"/>
    <xf numFmtId="0" fontId="20" fillId="0" borderId="0" xfId="0" applyFont="1"/>
    <xf numFmtId="0" fontId="21" fillId="0" borderId="0" xfId="3" applyFont="1" applyAlignment="1" applyProtection="1"/>
    <xf numFmtId="0" fontId="1" fillId="3" borderId="0" xfId="0" applyFont="1" applyFill="1"/>
    <xf numFmtId="0" fontId="7" fillId="0" borderId="0" xfId="3" applyFont="1" applyAlignment="1" applyProtection="1">
      <alignment horizontal="justify"/>
    </xf>
    <xf numFmtId="0" fontId="18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" fillId="0" borderId="0" xfId="0" applyNumberFormat="1" applyFont="1"/>
    <xf numFmtId="0" fontId="3" fillId="3" borderId="0" xfId="0" applyFont="1" applyFill="1" applyAlignment="1">
      <alignment horizontal="left" indent="3"/>
    </xf>
    <xf numFmtId="0" fontId="3" fillId="0" borderId="0" xfId="0" applyFont="1" applyAlignment="1">
      <alignment horizontal="left" indent="3"/>
    </xf>
    <xf numFmtId="0" fontId="3" fillId="3" borderId="0" xfId="0" applyFont="1" applyFill="1" applyBorder="1" applyAlignment="1">
      <alignment horizontal="left" indent="3"/>
    </xf>
    <xf numFmtId="0" fontId="3" fillId="0" borderId="0" xfId="0" applyFont="1" applyAlignment="1">
      <alignment horizontal="left" wrapText="1" indent="3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3" fontId="3" fillId="3" borderId="2" xfId="1" applyNumberFormat="1" applyFont="1" applyFill="1" applyBorder="1" applyAlignment="1">
      <alignment horizontal="right"/>
    </xf>
    <xf numFmtId="3" fontId="3" fillId="3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" fillId="2" borderId="0" xfId="0" applyFont="1" applyFill="1" applyAlignment="1"/>
    <xf numFmtId="0" fontId="1" fillId="6" borderId="0" xfId="0" applyFont="1" applyFill="1"/>
    <xf numFmtId="0" fontId="23" fillId="9" borderId="0" xfId="0" applyFont="1" applyFill="1"/>
    <xf numFmtId="0" fontId="0" fillId="9" borderId="0" xfId="0" applyFill="1"/>
    <xf numFmtId="0" fontId="23" fillId="10" borderId="0" xfId="0" applyFont="1" applyFill="1"/>
    <xf numFmtId="0" fontId="0" fillId="10" borderId="0" xfId="0" applyFill="1"/>
    <xf numFmtId="0" fontId="23" fillId="0" borderId="0" xfId="0" applyFont="1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2" fillId="0" borderId="0" xfId="0" applyFont="1"/>
    <xf numFmtId="0" fontId="0" fillId="3" borderId="0" xfId="0" applyFill="1"/>
    <xf numFmtId="9" fontId="0" fillId="3" borderId="0" xfId="0" applyNumberFormat="1" applyFill="1"/>
    <xf numFmtId="174" fontId="0" fillId="3" borderId="0" xfId="0" applyNumberFormat="1" applyFill="1"/>
    <xf numFmtId="49" fontId="0" fillId="0" borderId="0" xfId="0" applyNumberFormat="1"/>
    <xf numFmtId="165" fontId="0" fillId="0" borderId="0" xfId="0" applyNumberFormat="1" applyAlignment="1">
      <alignment horizontal="right"/>
    </xf>
    <xf numFmtId="165" fontId="0" fillId="0" borderId="0" xfId="0" applyNumberFormat="1" applyFill="1"/>
    <xf numFmtId="0" fontId="0" fillId="11" borderId="0" xfId="0" applyFill="1"/>
    <xf numFmtId="49" fontId="22" fillId="12" borderId="0" xfId="0" applyNumberFormat="1" applyFont="1" applyFill="1"/>
    <xf numFmtId="0" fontId="22" fillId="12" borderId="0" xfId="0" applyFont="1" applyFill="1"/>
    <xf numFmtId="176" fontId="22" fillId="12" borderId="0" xfId="0" applyNumberFormat="1" applyFont="1" applyFill="1"/>
    <xf numFmtId="176" fontId="22" fillId="12" borderId="20" xfId="0" applyNumberFormat="1" applyFont="1" applyFill="1" applyBorder="1"/>
    <xf numFmtId="0" fontId="22" fillId="12" borderId="20" xfId="0" applyFont="1" applyFill="1" applyBorder="1"/>
    <xf numFmtId="3" fontId="22" fillId="12" borderId="0" xfId="0" applyNumberFormat="1" applyFont="1" applyFill="1"/>
    <xf numFmtId="0" fontId="24" fillId="0" borderId="0" xfId="0" applyFont="1"/>
    <xf numFmtId="3" fontId="24" fillId="12" borderId="0" xfId="0" applyNumberFormat="1" applyFont="1" applyFill="1"/>
    <xf numFmtId="3" fontId="22" fillId="0" borderId="0" xfId="0" applyNumberFormat="1" applyFont="1"/>
    <xf numFmtId="0" fontId="22" fillId="0" borderId="0" xfId="0" applyFont="1" applyAlignment="1">
      <alignment horizontal="center"/>
    </xf>
    <xf numFmtId="0" fontId="28" fillId="0" borderId="0" xfId="0" applyFont="1"/>
    <xf numFmtId="0" fontId="0" fillId="0" borderId="0" xfId="0" applyFill="1"/>
    <xf numFmtId="176" fontId="0" fillId="3" borderId="0" xfId="0" applyNumberFormat="1" applyFill="1"/>
    <xf numFmtId="2" fontId="29" fillId="0" borderId="0" xfId="0" applyNumberFormat="1" applyFont="1" applyFill="1"/>
    <xf numFmtId="0" fontId="0" fillId="0" borderId="21" xfId="0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9" fontId="0" fillId="0" borderId="21" xfId="0" applyNumberFormat="1" applyBorder="1" applyAlignment="1">
      <alignment horizontal="center" vertical="center"/>
    </xf>
    <xf numFmtId="9" fontId="0" fillId="0" borderId="21" xfId="0" applyNumberFormat="1" applyFill="1" applyBorder="1" applyAlignment="1">
      <alignment horizontal="center" vertical="center"/>
    </xf>
    <xf numFmtId="174" fontId="0" fillId="0" borderId="21" xfId="0" applyNumberFormat="1" applyFill="1" applyBorder="1" applyAlignment="1">
      <alignment horizontal="center" vertical="center"/>
    </xf>
    <xf numFmtId="2" fontId="0" fillId="0" borderId="0" xfId="0" applyNumberFormat="1"/>
    <xf numFmtId="9" fontId="0" fillId="3" borderId="0" xfId="0" applyNumberFormat="1" applyFill="1" applyAlignment="1">
      <alignment horizontal="right"/>
    </xf>
    <xf numFmtId="1" fontId="3" fillId="3" borderId="0" xfId="0" applyNumberFormat="1" applyFont="1" applyFill="1" applyAlignment="1">
      <alignment horizontal="center"/>
    </xf>
    <xf numFmtId="1" fontId="0" fillId="3" borderId="0" xfId="0" applyNumberFormat="1" applyFill="1"/>
    <xf numFmtId="0" fontId="6" fillId="0" borderId="21" xfId="0" applyFont="1" applyBorder="1" applyAlignment="1">
      <alignment horizontal="center"/>
    </xf>
    <xf numFmtId="9" fontId="3" fillId="3" borderId="21" xfId="0" applyNumberFormat="1" applyFont="1" applyFill="1" applyBorder="1"/>
    <xf numFmtId="0" fontId="22" fillId="0" borderId="0" xfId="0" applyFont="1" applyAlignment="1">
      <alignment wrapText="1"/>
    </xf>
    <xf numFmtId="10" fontId="0" fillId="3" borderId="0" xfId="0" applyNumberFormat="1" applyFill="1"/>
    <xf numFmtId="49" fontId="1" fillId="0" borderId="0" xfId="0" applyNumberFormat="1" applyFont="1"/>
    <xf numFmtId="0" fontId="4" fillId="0" borderId="0" xfId="0" applyFont="1" applyFill="1"/>
    <xf numFmtId="9" fontId="0" fillId="0" borderId="0" xfId="0" applyNumberFormat="1" applyFill="1"/>
    <xf numFmtId="2" fontId="0" fillId="0" borderId="0" xfId="0" applyNumberFormat="1" applyFill="1" applyAlignment="1">
      <alignment horizontal="left" indent="2"/>
    </xf>
    <xf numFmtId="2" fontId="0" fillId="12" borderId="0" xfId="0" applyNumberFormat="1" applyFill="1"/>
    <xf numFmtId="0" fontId="6" fillId="0" borderId="1" xfId="0" applyFont="1" applyBorder="1" applyAlignment="1">
      <alignment horizontal="center"/>
    </xf>
    <xf numFmtId="0" fontId="3" fillId="0" borderId="12" xfId="0" applyFont="1" applyBorder="1"/>
    <xf numFmtId="0" fontId="3" fillId="0" borderId="23" xfId="0" applyFont="1" applyBorder="1"/>
    <xf numFmtId="1" fontId="3" fillId="0" borderId="22" xfId="0" applyNumberFormat="1" applyFont="1" applyBorder="1"/>
    <xf numFmtId="0" fontId="3" fillId="3" borderId="21" xfId="0" applyFont="1" applyFill="1" applyBorder="1" applyAlignment="1">
      <alignment horizontal="left"/>
    </xf>
    <xf numFmtId="0" fontId="1" fillId="2" borderId="21" xfId="0" applyFont="1" applyFill="1" applyBorder="1"/>
    <xf numFmtId="0" fontId="3" fillId="3" borderId="21" xfId="0" applyFont="1" applyFill="1" applyBorder="1" applyAlignment="1">
      <alignment horizontal="left" indent="3"/>
    </xf>
    <xf numFmtId="0" fontId="3" fillId="0" borderId="0" xfId="0" applyFont="1" applyAlignment="1">
      <alignment horizontal="right"/>
    </xf>
    <xf numFmtId="0" fontId="3" fillId="0" borderId="25" xfId="0" applyFont="1" applyBorder="1" applyAlignment="1">
      <alignment wrapText="1"/>
    </xf>
    <xf numFmtId="0" fontId="3" fillId="0" borderId="0" xfId="0" applyFont="1" applyAlignment="1">
      <alignment horizontal="right" indent="1"/>
    </xf>
    <xf numFmtId="1" fontId="3" fillId="0" borderId="0" xfId="0" applyNumberFormat="1" applyFont="1" applyAlignment="1">
      <alignment horizontal="right"/>
    </xf>
    <xf numFmtId="0" fontId="6" fillId="0" borderId="0" xfId="0" applyFont="1" applyFill="1"/>
    <xf numFmtId="176" fontId="3" fillId="0" borderId="0" xfId="0" applyNumberFormat="1" applyFont="1" applyAlignment="1">
      <alignment horizontal="right" indent="1"/>
    </xf>
    <xf numFmtId="165" fontId="3" fillId="0" borderId="0" xfId="0" applyNumberFormat="1" applyFont="1" applyFill="1" applyAlignment="1">
      <alignment horizontal="right" indent="1"/>
    </xf>
    <xf numFmtId="176" fontId="3" fillId="0" borderId="0" xfId="0" applyNumberFormat="1" applyFont="1" applyFill="1" applyAlignment="1">
      <alignment horizontal="right" indent="1"/>
    </xf>
    <xf numFmtId="0" fontId="3" fillId="13" borderId="0" xfId="0" applyFont="1" applyFill="1"/>
    <xf numFmtId="0" fontId="6" fillId="0" borderId="7" xfId="0" applyFont="1" applyBorder="1" applyAlignment="1">
      <alignment wrapText="1"/>
    </xf>
    <xf numFmtId="1" fontId="6" fillId="0" borderId="6" xfId="0" applyNumberFormat="1" applyFont="1" applyBorder="1"/>
    <xf numFmtId="0" fontId="6" fillId="0" borderId="24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1" fontId="6" fillId="0" borderId="24" xfId="0" applyNumberFormat="1" applyFont="1" applyBorder="1" applyAlignment="1">
      <alignment horizontal="right"/>
    </xf>
    <xf numFmtId="1" fontId="6" fillId="0" borderId="6" xfId="0" applyNumberFormat="1" applyFont="1" applyBorder="1" applyAlignment="1">
      <alignment horizontal="right"/>
    </xf>
    <xf numFmtId="1" fontId="6" fillId="0" borderId="22" xfId="0" applyNumberFormat="1" applyFont="1" applyBorder="1"/>
    <xf numFmtId="0" fontId="6" fillId="0" borderId="23" xfId="0" applyFont="1" applyBorder="1" applyAlignment="1">
      <alignment wrapText="1"/>
    </xf>
    <xf numFmtId="165" fontId="3" fillId="3" borderId="2" xfId="1" applyNumberFormat="1" applyFont="1" applyFill="1" applyBorder="1" applyAlignment="1"/>
    <xf numFmtId="165" fontId="3" fillId="3" borderId="0" xfId="0" applyNumberFormat="1" applyFont="1" applyFill="1" applyAlignment="1"/>
    <xf numFmtId="177" fontId="3" fillId="3" borderId="2" xfId="1" applyNumberFormat="1" applyFont="1" applyFill="1" applyBorder="1" applyAlignment="1"/>
    <xf numFmtId="177" fontId="3" fillId="3" borderId="13" xfId="1" applyNumberFormat="1" applyFont="1" applyFill="1" applyBorder="1" applyAlignment="1"/>
    <xf numFmtId="0" fontId="1" fillId="13" borderId="0" xfId="0" applyFont="1" applyFill="1"/>
  </cellXfs>
  <cellStyles count="4">
    <cellStyle name="Comma" xfId="1" builtinId="3"/>
    <cellStyle name="Hyperlink" xfId="3" builtinId="8"/>
    <cellStyle name="Normal" xfId="0" builtinId="0"/>
    <cellStyle name="Normal_Crop Margins" xfId="2"/>
  </cellStyles>
  <dxfs count="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66"/>
      <color rgb="FF66FFFF"/>
      <color rgb="FFFFCC66"/>
      <color rgb="FFC0C0C0"/>
      <color rgb="FF333399"/>
      <color rgb="FF8275FF"/>
      <color rgb="FF6C5DFF"/>
      <color rgb="FFCCECFF"/>
      <color rgb="FFDDDDDD"/>
      <color rgb="FFB2B2B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Bruto marž</a:t>
            </a:r>
            <a:r>
              <a:rPr lang="sr-Latn-RS"/>
              <a:t>a</a:t>
            </a:r>
            <a:r>
              <a:rPr lang="en-US"/>
              <a:t> po hektaru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20050917611906699"/>
          <c:y val="0.10636931253158573"/>
          <c:w val="0.76060188382885485"/>
          <c:h val="0.5847109736282966"/>
        </c:manualLayout>
      </c:layout>
      <c:barChart>
        <c:barDir val="col"/>
        <c:grouping val="clustered"/>
        <c:ser>
          <c:idx val="0"/>
          <c:order val="0"/>
          <c:tx>
            <c:strRef>
              <c:f>Rezime!$H$3</c:f>
              <c:strCache>
                <c:ptCount val="1"/>
                <c:pt idx="0">
                  <c:v>Bruto  marža</c:v>
                </c:pt>
              </c:strCache>
            </c:strRef>
          </c:tx>
          <c:cat>
            <c:strRef>
              <c:f>Rezime!$C$5:$C$13</c:f>
              <c:strCache>
                <c:ptCount val="9"/>
                <c:pt idx="0">
                  <c:v>Kukuruz</c:v>
                </c:pt>
                <c:pt idx="1">
                  <c:v>Pšenica</c:v>
                </c:pt>
                <c:pt idx="2">
                  <c:v>Soja</c:v>
                </c:pt>
                <c:pt idx="3">
                  <c:v>Suncokret</c:v>
                </c:pt>
                <c:pt idx="4">
                  <c:v>Uljana repica</c:v>
                </c:pt>
                <c:pt idx="5">
                  <c:v>Šećerna repa</c:v>
                </c:pt>
                <c:pt idx="6">
                  <c:v>Ječam</c:v>
                </c:pt>
                <c:pt idx="7">
                  <c:v>Krompir</c:v>
                </c:pt>
                <c:pt idx="8">
                  <c:v>Lucerka</c:v>
                </c:pt>
              </c:strCache>
            </c:strRef>
          </c:cat>
          <c:val>
            <c:numRef>
              <c:f>Rezime!$H$5:$H$13</c:f>
              <c:numCache>
                <c:formatCode>#,##0</c:formatCode>
                <c:ptCount val="9"/>
                <c:pt idx="0">
                  <c:v>77445</c:v>
                </c:pt>
                <c:pt idx="1">
                  <c:v>60940</c:v>
                </c:pt>
                <c:pt idx="2">
                  <c:v>66575</c:v>
                </c:pt>
                <c:pt idx="3">
                  <c:v>65025.833333333336</c:v>
                </c:pt>
                <c:pt idx="4">
                  <c:v>71104</c:v>
                </c:pt>
                <c:pt idx="5">
                  <c:v>113410.83333333331</c:v>
                </c:pt>
                <c:pt idx="6">
                  <c:v>43753.333333333343</c:v>
                </c:pt>
                <c:pt idx="7">
                  <c:v>186346.66666666663</c:v>
                </c:pt>
                <c:pt idx="8">
                  <c:v>49000</c:v>
                </c:pt>
              </c:numCache>
            </c:numRef>
          </c:val>
        </c:ser>
        <c:ser>
          <c:idx val="1"/>
          <c:order val="1"/>
          <c:tx>
            <c:strRef>
              <c:f>Rezime!$I$3</c:f>
              <c:strCache>
                <c:ptCount val="1"/>
                <c:pt idx="0">
                  <c:v>Bruto  marža I*</c:v>
                </c:pt>
              </c:strCache>
            </c:strRef>
          </c:tx>
          <c:cat>
            <c:strRef>
              <c:f>Rezime!$C$5:$C$13</c:f>
              <c:strCache>
                <c:ptCount val="9"/>
                <c:pt idx="0">
                  <c:v>Kukuruz</c:v>
                </c:pt>
                <c:pt idx="1">
                  <c:v>Pšenica</c:v>
                </c:pt>
                <c:pt idx="2">
                  <c:v>Soja</c:v>
                </c:pt>
                <c:pt idx="3">
                  <c:v>Suncokret</c:v>
                </c:pt>
                <c:pt idx="4">
                  <c:v>Uljana repica</c:v>
                </c:pt>
                <c:pt idx="5">
                  <c:v>Šećerna repa</c:v>
                </c:pt>
                <c:pt idx="6">
                  <c:v>Ječam</c:v>
                </c:pt>
                <c:pt idx="7">
                  <c:v>Krompir</c:v>
                </c:pt>
                <c:pt idx="8">
                  <c:v>Lucerka</c:v>
                </c:pt>
              </c:strCache>
            </c:strRef>
          </c:cat>
          <c:val>
            <c:numRef>
              <c:f>Rezime!$I$5:$I$13</c:f>
              <c:numCache>
                <c:formatCode>#,##0</c:formatCode>
                <c:ptCount val="9"/>
                <c:pt idx="0">
                  <c:v>78536.808307692307</c:v>
                </c:pt>
                <c:pt idx="1">
                  <c:v>53856.11018394649</c:v>
                </c:pt>
                <c:pt idx="2">
                  <c:v>59857.926555183949</c:v>
                </c:pt>
                <c:pt idx="3">
                  <c:v>65629.696978818291</c:v>
                </c:pt>
                <c:pt idx="4">
                  <c:v>72653.204682274241</c:v>
                </c:pt>
                <c:pt idx="5">
                  <c:v>113955.76259754736</c:v>
                </c:pt>
                <c:pt idx="6">
                  <c:v>44988.379253065781</c:v>
                </c:pt>
                <c:pt idx="7">
                  <c:v>189806.13285395759</c:v>
                </c:pt>
                <c:pt idx="8">
                  <c:v>49806.553043478263</c:v>
                </c:pt>
              </c:numCache>
            </c:numRef>
          </c:val>
        </c:ser>
        <c:axId val="140918784"/>
        <c:axId val="140920320"/>
      </c:barChart>
      <c:catAx>
        <c:axId val="140918784"/>
        <c:scaling>
          <c:orientation val="minMax"/>
        </c:scaling>
        <c:axPos val="b"/>
        <c:tickLblPos val="nextTo"/>
        <c:crossAx val="140920320"/>
        <c:crosses val="autoZero"/>
        <c:auto val="1"/>
        <c:lblAlgn val="ctr"/>
        <c:lblOffset val="100"/>
      </c:catAx>
      <c:valAx>
        <c:axId val="1409203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r-Latn-CS"/>
                  <a:t>Din/ha</a:t>
                </a:r>
              </a:p>
            </c:rich>
          </c:tx>
          <c:layout>
            <c:manualLayout>
              <c:xMode val="edge"/>
              <c:yMode val="edge"/>
              <c:x val="1.8932224115260503E-2"/>
              <c:y val="0.34718899268026615"/>
            </c:manualLayout>
          </c:layout>
        </c:title>
        <c:numFmt formatCode="#,##0" sourceLinked="1"/>
        <c:tickLblPos val="nextTo"/>
        <c:crossAx val="140918784"/>
        <c:crosses val="autoZero"/>
        <c:crossBetween val="between"/>
      </c:valAx>
    </c:plotArea>
    <c:legend>
      <c:legendPos val="b"/>
      <c:layout/>
    </c:legend>
    <c:plotVisOnly val="1"/>
  </c:chart>
  <c:spPr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Latn-CS" sz="1400" b="1">
                <a:latin typeface="+mn-lt"/>
              </a:rPr>
              <a:t>Struktura varijabilnih troškova u proizvodnji lucerke</a:t>
            </a:r>
          </a:p>
        </c:rich>
      </c:tx>
      <c:layout>
        <c:manualLayout>
          <c:xMode val="edge"/>
          <c:yMode val="edge"/>
          <c:x val="0.12450493852742092"/>
          <c:y val="3.13253175966398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68185569981789"/>
          <c:y val="0.21717252416618657"/>
          <c:w val="0.5612624326564446"/>
          <c:h val="0.7370357646978836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4828741249273959E-2"/>
                  <c:y val="9.5036169259330727E-3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'9.Lucerka'!$C$60:$C$69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'9.Lucerka'!$E$60:$E$69</c:f>
              <c:numCache>
                <c:formatCode>#,##0</c:formatCode>
                <c:ptCount val="10"/>
                <c:pt idx="0">
                  <c:v>2520</c:v>
                </c:pt>
                <c:pt idx="1">
                  <c:v>25100</c:v>
                </c:pt>
                <c:pt idx="2">
                  <c:v>11610</c:v>
                </c:pt>
                <c:pt idx="3">
                  <c:v>6525</c:v>
                </c:pt>
                <c:pt idx="4">
                  <c:v>9715</c:v>
                </c:pt>
                <c:pt idx="5">
                  <c:v>0</c:v>
                </c:pt>
                <c:pt idx="6">
                  <c:v>24080</c:v>
                </c:pt>
                <c:pt idx="7">
                  <c:v>5000</c:v>
                </c:pt>
                <c:pt idx="8">
                  <c:v>10000</c:v>
                </c:pt>
                <c:pt idx="9">
                  <c:v>450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66" r="0.75000000000000466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Struktura varijabilnih troškova u </a:t>
            </a:r>
            <a:r>
              <a:rPr lang="sr-Latn-CS" sz="1400"/>
              <a:t>tovu svinja</a:t>
            </a:r>
            <a:endParaRPr lang="en-US" sz="1400"/>
          </a:p>
        </c:rich>
      </c:tx>
      <c:layout>
        <c:manualLayout>
          <c:xMode val="edge"/>
          <c:yMode val="edge"/>
          <c:x val="0.21403730190098541"/>
          <c:y val="7.8867439586190434E-3"/>
        </c:manualLayout>
      </c:layout>
      <c:overlay val="1"/>
    </c:title>
    <c:plotArea>
      <c:layout>
        <c:manualLayout>
          <c:layoutTarget val="inner"/>
          <c:xMode val="edge"/>
          <c:yMode val="edge"/>
          <c:x val="0.1957249639611576"/>
          <c:y val="0.21012078758209587"/>
          <c:w val="0.60696051976843468"/>
          <c:h val="0.7393126427100899"/>
        </c:manualLayout>
      </c:layout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-6.7111640175251938E-2"/>
                  <c:y val="9.9697748730046873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8.2752126932241626E-2"/>
                  <c:y val="5.6132789345380983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5.2620418279817852E-2"/>
                  <c:y val="-4.1691826896523544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0.22273839373385271"/>
                  <c:y val="2.287796345759396E-2"/>
                </c:manualLayout>
              </c:layout>
              <c:dLblPos val="bestFit"/>
              <c:showCatName val="1"/>
              <c:showPercent val="1"/>
            </c:dLbl>
            <c:txPr>
              <a:bodyPr rot="0"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'10.Tov svinja'!$C$54:$C$60</c:f>
              <c:strCache>
                <c:ptCount val="7"/>
                <c:pt idx="0">
                  <c:v>Prasad</c:v>
                </c:pt>
                <c:pt idx="1">
                  <c:v>Koncentrat</c:v>
                </c:pt>
                <c:pt idx="2">
                  <c:v>Voda</c:v>
                </c:pt>
                <c:pt idx="3">
                  <c:v>Veterinarske usluge i lekovi</c:v>
                </c:pt>
                <c:pt idx="4">
                  <c:v>Potrošni materijal</c:v>
                </c:pt>
                <c:pt idx="5">
                  <c:v>Usluge</c:v>
                </c:pt>
                <c:pt idx="6">
                  <c:v>Kamata na varijabilni kapital</c:v>
                </c:pt>
              </c:strCache>
            </c:strRef>
          </c:cat>
          <c:val>
            <c:numRef>
              <c:f>'10.Tov svinja'!$F$54:$F$60</c:f>
              <c:numCache>
                <c:formatCode>#,##0</c:formatCode>
                <c:ptCount val="7"/>
                <c:pt idx="0">
                  <c:v>6612.2448979591836</c:v>
                </c:pt>
                <c:pt idx="1">
                  <c:v>13501.377551020409</c:v>
                </c:pt>
                <c:pt idx="2">
                  <c:v>22.729591836734695</c:v>
                </c:pt>
                <c:pt idx="3">
                  <c:v>505.10204081632651</c:v>
                </c:pt>
                <c:pt idx="4">
                  <c:v>151.53061224489795</c:v>
                </c:pt>
                <c:pt idx="5">
                  <c:v>0</c:v>
                </c:pt>
                <c:pt idx="6">
                  <c:v>1039.6492346938776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Struktura varijabilnih troškova u proizvodnji </a:t>
            </a:r>
            <a:r>
              <a:rPr lang="sr-Latn-CS" sz="1400"/>
              <a:t>kravljeg mleka</a:t>
            </a:r>
            <a:endParaRPr lang="en-US" sz="1400"/>
          </a:p>
        </c:rich>
      </c:tx>
      <c:layout>
        <c:manualLayout>
          <c:xMode val="edge"/>
          <c:yMode val="edge"/>
          <c:x val="0.16772032736516973"/>
          <c:y val="7.8867439586190434E-3"/>
        </c:manualLayout>
      </c:layout>
      <c:overlay val="1"/>
    </c:title>
    <c:plotArea>
      <c:layout>
        <c:manualLayout>
          <c:layoutTarget val="inner"/>
          <c:xMode val="edge"/>
          <c:yMode val="edge"/>
          <c:x val="0.20264533987516736"/>
          <c:y val="0.16794789640631086"/>
          <c:w val="0.59118344693503266"/>
          <c:h val="0.78715256554269419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6.0865548640647783E-2"/>
                  <c:y val="-1.5565293645290761E-3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8331038913910452"/>
                  <c:y val="1.0280978086013087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'11.Mleko'!$C$65:$C$73</c:f>
              <c:strCache>
                <c:ptCount val="9"/>
                <c:pt idx="0">
                  <c:v>Koncentrovana stočna hrana</c:v>
                </c:pt>
                <c:pt idx="1">
                  <c:v>Kabasta stočna hrana</c:v>
                </c:pt>
                <c:pt idx="2">
                  <c:v>Prostirka</c:v>
                </c:pt>
                <c:pt idx="3">
                  <c:v>Voda</c:v>
                </c:pt>
                <c:pt idx="4">
                  <c:v>Osemenjavanje</c:v>
                </c:pt>
                <c:pt idx="5">
                  <c:v>Veterinarske usluge i lekovi</c:v>
                </c:pt>
                <c:pt idx="6">
                  <c:v>Potrošni materijal</c:v>
                </c:pt>
                <c:pt idx="7">
                  <c:v>Usluge</c:v>
                </c:pt>
                <c:pt idx="8">
                  <c:v>Kamata na varijabilni kapital</c:v>
                </c:pt>
              </c:strCache>
            </c:strRef>
          </c:cat>
          <c:val>
            <c:numRef>
              <c:f>'11.Mleko'!$F$65:$F$73</c:f>
              <c:numCache>
                <c:formatCode>#,##0</c:formatCode>
                <c:ptCount val="9"/>
                <c:pt idx="0">
                  <c:v>45060</c:v>
                </c:pt>
                <c:pt idx="1">
                  <c:v>67650</c:v>
                </c:pt>
                <c:pt idx="2">
                  <c:v>3650</c:v>
                </c:pt>
                <c:pt idx="3">
                  <c:v>912.5</c:v>
                </c:pt>
                <c:pt idx="4">
                  <c:v>2000</c:v>
                </c:pt>
                <c:pt idx="5">
                  <c:v>10000</c:v>
                </c:pt>
                <c:pt idx="6">
                  <c:v>2500</c:v>
                </c:pt>
                <c:pt idx="7">
                  <c:v>12000</c:v>
                </c:pt>
                <c:pt idx="8">
                  <c:v>3594.3125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Struktura varijabilnih troškova u </a:t>
            </a:r>
            <a:r>
              <a:rPr lang="sr-Latn-CS" sz="1400"/>
              <a:t>tovu pilića</a:t>
            </a:r>
            <a:endParaRPr lang="en-US" sz="1400"/>
          </a:p>
        </c:rich>
      </c:tx>
      <c:layout>
        <c:manualLayout>
          <c:xMode val="edge"/>
          <c:yMode val="edge"/>
          <c:x val="0.33140566457626336"/>
          <c:y val="1.5709428141254287E-2"/>
        </c:manualLayout>
      </c:layout>
      <c:overlay val="1"/>
    </c:title>
    <c:plotArea>
      <c:layout>
        <c:manualLayout>
          <c:layoutTarget val="inner"/>
          <c:xMode val="edge"/>
          <c:yMode val="edge"/>
          <c:x val="0.25008220585739682"/>
          <c:y val="0.24356717683844983"/>
          <c:w val="0.56414538522224456"/>
          <c:h val="0.70371060092792226"/>
        </c:manualLayout>
      </c:layout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-0.13205156959195932"/>
                  <c:y val="0.1059195794604181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0.1952355021503169"/>
                  <c:y val="3.3147877608200052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1.2769486534226406E-2"/>
                  <c:y val="-2.7948785015725612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0.13967254008263838"/>
                  <c:y val="4.0086842060416995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'12.Tov pilića'!$C$53:$C$60</c:f>
              <c:strCache>
                <c:ptCount val="8"/>
                <c:pt idx="0">
                  <c:v>Jednodnevno pile</c:v>
                </c:pt>
                <c:pt idx="1">
                  <c:v>Koncentrat</c:v>
                </c:pt>
                <c:pt idx="2">
                  <c:v>Voda</c:v>
                </c:pt>
                <c:pt idx="3">
                  <c:v>Električna energija</c:v>
                </c:pt>
                <c:pt idx="4">
                  <c:v>Veterinarske usluge i lekovi</c:v>
                </c:pt>
                <c:pt idx="5">
                  <c:v>Potrošni materijal</c:v>
                </c:pt>
                <c:pt idx="6">
                  <c:v>Usluge</c:v>
                </c:pt>
                <c:pt idx="7">
                  <c:v>Kamata na varijabilni kapital</c:v>
                </c:pt>
              </c:strCache>
            </c:strRef>
          </c:cat>
          <c:val>
            <c:numRef>
              <c:f>'12.Tov pilića'!$F$53:$F$60</c:f>
              <c:numCache>
                <c:formatCode>#,##0.0</c:formatCode>
                <c:ptCount val="8"/>
                <c:pt idx="0">
                  <c:v>52.631578947368418</c:v>
                </c:pt>
                <c:pt idx="1">
                  <c:v>293.11578947368417</c:v>
                </c:pt>
                <c:pt idx="2">
                  <c:v>30.789473684210527</c:v>
                </c:pt>
                <c:pt idx="3">
                  <c:v>5.8947368421052628</c:v>
                </c:pt>
                <c:pt idx="4">
                  <c:v>21.05263157894737</c:v>
                </c:pt>
                <c:pt idx="5">
                  <c:v>2.1052631578947367</c:v>
                </c:pt>
                <c:pt idx="6">
                  <c:v>0</c:v>
                </c:pt>
                <c:pt idx="7">
                  <c:v>6.0838421052631579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Struktura varijabilnih troškova u proizvodnji kukuruza</a:t>
            </a:r>
          </a:p>
        </c:rich>
      </c:tx>
      <c:layout>
        <c:manualLayout>
          <c:xMode val="edge"/>
          <c:yMode val="edge"/>
          <c:x val="0.12859226141542979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1525893489021594"/>
          <c:y val="0.17540194643811124"/>
          <c:w val="0.58506217004025185"/>
          <c:h val="0.74976274352460504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'1.Kukuruz'!$C$57:$C$66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'1.Kukuruz'!$F$57:$F$66</c:f>
              <c:numCache>
                <c:formatCode>#,##0</c:formatCode>
                <c:ptCount val="10"/>
                <c:pt idx="0">
                  <c:v>8880</c:v>
                </c:pt>
                <c:pt idx="1">
                  <c:v>20650</c:v>
                </c:pt>
                <c:pt idx="2">
                  <c:v>4500</c:v>
                </c:pt>
                <c:pt idx="3">
                  <c:v>6525</c:v>
                </c:pt>
                <c:pt idx="4">
                  <c:v>0</c:v>
                </c:pt>
                <c:pt idx="5">
                  <c:v>0</c:v>
                </c:pt>
                <c:pt idx="6">
                  <c:v>20000</c:v>
                </c:pt>
                <c:pt idx="7">
                  <c:v>4500</c:v>
                </c:pt>
                <c:pt idx="8">
                  <c:v>8000</c:v>
                </c:pt>
                <c:pt idx="9">
                  <c:v>2500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Struktura varijabilnih troškova u proizvodnji </a:t>
            </a:r>
            <a:r>
              <a:rPr lang="sr-Latn-CS" sz="1400"/>
              <a:t>pšenice</a:t>
            </a:r>
            <a:endParaRPr lang="en-US" sz="1400"/>
          </a:p>
        </c:rich>
      </c:tx>
      <c:layout>
        <c:manualLayout>
          <c:xMode val="edge"/>
          <c:yMode val="edge"/>
          <c:x val="0.13068272628318459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3904254708784844"/>
          <c:y val="0.18340387084965334"/>
          <c:w val="0.52336684944456258"/>
          <c:h val="0.74601991212261964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2.8533705557978652E-2"/>
                  <c:y val="8.3230485226111501E-3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2659557149145109"/>
                  <c:y val="-9.8374873292022911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21133383017744559"/>
                  <c:y val="3.4898410845320076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'2.Pšenica'!$C$56:$C$65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'2.Pšenica'!$F$56:$F$65</c:f>
              <c:numCache>
                <c:formatCode>#,##0</c:formatCode>
                <c:ptCount val="10"/>
                <c:pt idx="0">
                  <c:v>10000</c:v>
                </c:pt>
                <c:pt idx="1">
                  <c:v>24400</c:v>
                </c:pt>
                <c:pt idx="2">
                  <c:v>200</c:v>
                </c:pt>
                <c:pt idx="3">
                  <c:v>2175</c:v>
                </c:pt>
                <c:pt idx="4">
                  <c:v>4350</c:v>
                </c:pt>
                <c:pt idx="5">
                  <c:v>1985.0000000000002</c:v>
                </c:pt>
                <c:pt idx="6">
                  <c:v>23200</c:v>
                </c:pt>
                <c:pt idx="7">
                  <c:v>750</c:v>
                </c:pt>
                <c:pt idx="8">
                  <c:v>5000</c:v>
                </c:pt>
                <c:pt idx="9">
                  <c:v>2000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Struktura varijabilnih troškova u proizvodnji </a:t>
            </a:r>
            <a:r>
              <a:rPr lang="sr-Latn-CS" sz="1400"/>
              <a:t>soje</a:t>
            </a:r>
            <a:endParaRPr lang="en-US" sz="1400"/>
          </a:p>
        </c:rich>
      </c:tx>
      <c:layout>
        <c:manualLayout>
          <c:xMode val="edge"/>
          <c:yMode val="edge"/>
          <c:x val="0.13068272628318447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0264533987516681"/>
          <c:y val="0.1679478964063103"/>
          <c:w val="0.61980504638189704"/>
          <c:h val="0.75495801107536065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5.289770497639467E-2"/>
                  <c:y val="4.8256374907142734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6.1427852867127576E-2"/>
                  <c:y val="2.4951490244987568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4405035458984494"/>
                  <c:y val="1.5197694898224439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'3.Soja'!$C$56:$C$65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'3.Soja'!$F$56:$F$65</c:f>
              <c:numCache>
                <c:formatCode>#,##0</c:formatCode>
                <c:ptCount val="10"/>
                <c:pt idx="0">
                  <c:v>10800</c:v>
                </c:pt>
                <c:pt idx="1">
                  <c:v>17375</c:v>
                </c:pt>
                <c:pt idx="2">
                  <c:v>8375</c:v>
                </c:pt>
                <c:pt idx="3">
                  <c:v>2175</c:v>
                </c:pt>
                <c:pt idx="4">
                  <c:v>8700</c:v>
                </c:pt>
                <c:pt idx="5">
                  <c:v>5000</c:v>
                </c:pt>
                <c:pt idx="6">
                  <c:v>13500</c:v>
                </c:pt>
                <c:pt idx="7">
                  <c:v>2000</c:v>
                </c:pt>
                <c:pt idx="8">
                  <c:v>3500</c:v>
                </c:pt>
                <c:pt idx="9">
                  <c:v>3000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Struktura varijabilnih troškova u proizvodnji </a:t>
            </a:r>
            <a:r>
              <a:rPr lang="sr-Latn-CS" sz="1400"/>
              <a:t>suncokreta</a:t>
            </a:r>
            <a:endParaRPr lang="en-US" sz="1400"/>
          </a:p>
        </c:rich>
      </c:tx>
      <c:layout>
        <c:manualLayout>
          <c:xMode val="edge"/>
          <c:yMode val="edge"/>
          <c:x val="0.13068272628318436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0264533987516692"/>
          <c:y val="0.16794789640631042"/>
          <c:w val="0.5832234773155528"/>
          <c:h val="0.74803914462952659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0.10233274151155217"/>
                  <c:y val="3.3913713771434192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2393071475006542"/>
                  <c:y val="9.1871497054086728E-3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'4.Suncokret'!$C$56:$C$65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'4.Suncokret'!$F$56:$F$65</c:f>
              <c:numCache>
                <c:formatCode>#,##0</c:formatCode>
                <c:ptCount val="10"/>
                <c:pt idx="0">
                  <c:v>12500</c:v>
                </c:pt>
                <c:pt idx="1">
                  <c:v>16790</c:v>
                </c:pt>
                <c:pt idx="2">
                  <c:v>4545</c:v>
                </c:pt>
                <c:pt idx="3">
                  <c:v>2175</c:v>
                </c:pt>
                <c:pt idx="4">
                  <c:v>7975</c:v>
                </c:pt>
                <c:pt idx="5">
                  <c:v>3639.166666666667</c:v>
                </c:pt>
                <c:pt idx="6">
                  <c:v>13200</c:v>
                </c:pt>
                <c:pt idx="7">
                  <c:v>0</c:v>
                </c:pt>
                <c:pt idx="8">
                  <c:v>1550</c:v>
                </c:pt>
                <c:pt idx="9">
                  <c:v>2100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Struktura varijabilnih troškova u proizvodnji </a:t>
            </a:r>
            <a:r>
              <a:rPr lang="sr-Latn-CS" sz="1400"/>
              <a:t>uljane repice</a:t>
            </a:r>
            <a:endParaRPr lang="en-US" sz="1400"/>
          </a:p>
        </c:rich>
      </c:tx>
      <c:layout>
        <c:manualLayout>
          <c:xMode val="edge"/>
          <c:yMode val="edge"/>
          <c:x val="0.13068272628318425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0264533987516703"/>
          <c:y val="0.16794789640631053"/>
          <c:w val="0.5832234773155528"/>
          <c:h val="0.74803914462952692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0.10233274151155221"/>
                  <c:y val="3.3913713771434192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2393071475006542"/>
                  <c:y val="9.1871497054086728E-3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'5.Uljana repica'!$C$56:$C$65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'5.Uljana repica'!$F$56:$F$65</c:f>
              <c:numCache>
                <c:formatCode>#,##0</c:formatCode>
                <c:ptCount val="10"/>
                <c:pt idx="0">
                  <c:v>8400</c:v>
                </c:pt>
                <c:pt idx="1">
                  <c:v>21450</c:v>
                </c:pt>
                <c:pt idx="2">
                  <c:v>5501</c:v>
                </c:pt>
                <c:pt idx="3">
                  <c:v>2175</c:v>
                </c:pt>
                <c:pt idx="4">
                  <c:v>8700</c:v>
                </c:pt>
                <c:pt idx="5">
                  <c:v>3970.0000000000005</c:v>
                </c:pt>
                <c:pt idx="6">
                  <c:v>13500</c:v>
                </c:pt>
                <c:pt idx="7">
                  <c:v>0</c:v>
                </c:pt>
                <c:pt idx="8">
                  <c:v>3100</c:v>
                </c:pt>
                <c:pt idx="9">
                  <c:v>2100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Struktura varijabilnih troškova u proizvodnji </a:t>
            </a:r>
            <a:r>
              <a:rPr lang="sr-Latn-CS" sz="1400"/>
              <a:t>šećerne repe</a:t>
            </a:r>
            <a:endParaRPr lang="en-US" sz="1400"/>
          </a:p>
        </c:rich>
      </c:tx>
      <c:layout>
        <c:manualLayout>
          <c:xMode val="edge"/>
          <c:yMode val="edge"/>
          <c:x val="0.13068272628318425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0264533987516703"/>
          <c:y val="0.16794789640631053"/>
          <c:w val="0.57376639503002458"/>
          <c:h val="0.76857549083305265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0.11408780693017855"/>
                  <c:y val="6.9549237362595231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0.27462838291606856"/>
                  <c:y val="2.3128889827013104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518347702569483"/>
                  <c:y val="3.1475524545878852E-3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'6.Š.Repa'!$C$59:$C$68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'6.Š.Repa'!$F$59:$F$68</c:f>
              <c:numCache>
                <c:formatCode>#,##0</c:formatCode>
                <c:ptCount val="10"/>
                <c:pt idx="0">
                  <c:v>18600</c:v>
                </c:pt>
                <c:pt idx="1">
                  <c:v>26000</c:v>
                </c:pt>
                <c:pt idx="2">
                  <c:v>48180</c:v>
                </c:pt>
                <c:pt idx="3">
                  <c:v>6525</c:v>
                </c:pt>
                <c:pt idx="4">
                  <c:v>16675</c:v>
                </c:pt>
                <c:pt idx="5">
                  <c:v>7609.166666666667</c:v>
                </c:pt>
                <c:pt idx="6">
                  <c:v>35000</c:v>
                </c:pt>
                <c:pt idx="7">
                  <c:v>0</c:v>
                </c:pt>
                <c:pt idx="8">
                  <c:v>0</c:v>
                </c:pt>
                <c:pt idx="9">
                  <c:v>3000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Struktura varijabilnih troškova u proizvodnji </a:t>
            </a:r>
            <a:r>
              <a:rPr lang="sr-Latn-CS" sz="1400"/>
              <a:t>ječma</a:t>
            </a:r>
            <a:endParaRPr lang="en-US" sz="1400"/>
          </a:p>
        </c:rich>
      </c:tx>
      <c:layout>
        <c:manualLayout>
          <c:xMode val="edge"/>
          <c:yMode val="edge"/>
          <c:x val="0.13068272628318447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3904254708784844"/>
          <c:y val="0.18340387084965334"/>
          <c:w val="0.52336684944456258"/>
          <c:h val="0.74601991212261964"/>
        </c:manualLayout>
      </c:layout>
      <c:pieChart>
        <c:varyColors val="1"/>
        <c:ser>
          <c:idx val="0"/>
          <c:order val="0"/>
          <c:dLbls>
            <c:dLbl>
              <c:idx val="7"/>
              <c:layout>
                <c:manualLayout>
                  <c:x val="-2.8533705557978652E-2"/>
                  <c:y val="8.3230485226111501E-3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2659557149145109"/>
                  <c:y val="-9.8374873292022998E-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2113338301774457"/>
                  <c:y val="3.4898410845320076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'7.Ječam'!$C$56:$C$65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'7.Ječam'!$F$56:$F$65</c:f>
              <c:numCache>
                <c:formatCode>#,##0</c:formatCode>
                <c:ptCount val="10"/>
                <c:pt idx="0">
                  <c:v>10000</c:v>
                </c:pt>
                <c:pt idx="1">
                  <c:v>23250</c:v>
                </c:pt>
                <c:pt idx="2">
                  <c:v>4390</c:v>
                </c:pt>
                <c:pt idx="3">
                  <c:v>2175</c:v>
                </c:pt>
                <c:pt idx="4">
                  <c:v>10150</c:v>
                </c:pt>
                <c:pt idx="5">
                  <c:v>4631.666666666667</c:v>
                </c:pt>
                <c:pt idx="6">
                  <c:v>13200</c:v>
                </c:pt>
                <c:pt idx="7">
                  <c:v>750</c:v>
                </c:pt>
                <c:pt idx="8">
                  <c:v>1500</c:v>
                </c:pt>
                <c:pt idx="9">
                  <c:v>1700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400"/>
              <a:t>Struktura varijabilnih troškova u proizvodnji </a:t>
            </a:r>
            <a:r>
              <a:rPr lang="sr-Latn-CS" sz="1400"/>
              <a:t>krompira</a:t>
            </a:r>
            <a:endParaRPr lang="en-US" sz="1400"/>
          </a:p>
        </c:rich>
      </c:tx>
      <c:layout>
        <c:manualLayout>
          <c:xMode val="edge"/>
          <c:yMode val="edge"/>
          <c:x val="0.13068272628318414"/>
          <c:y val="7.8867906998350903E-3"/>
        </c:manualLayout>
      </c:layout>
      <c:overlay val="1"/>
    </c:title>
    <c:plotArea>
      <c:layout>
        <c:manualLayout>
          <c:layoutTarget val="inner"/>
          <c:xMode val="edge"/>
          <c:yMode val="edge"/>
          <c:x val="0.20264533987516714"/>
          <c:y val="0.16794789640631064"/>
          <c:w val="0.58871584265206423"/>
          <c:h val="0.7688996357832214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bestFit"/>
            <c:showCatName val="1"/>
            <c:showPercent val="1"/>
            <c:showLeaderLines val="1"/>
          </c:dLbls>
          <c:cat>
            <c:strRef>
              <c:f>'8.Krompir'!$C$56:$C$65</c:f>
              <c:strCache>
                <c:ptCount val="10"/>
                <c:pt idx="0">
                  <c:v>Seme</c:v>
                </c:pt>
                <c:pt idx="1">
                  <c:v>Đubrivo</c:v>
                </c:pt>
                <c:pt idx="2">
                  <c:v>Pesticidi</c:v>
                </c:pt>
                <c:pt idx="3">
                  <c:v>Navodnjavanje</c:v>
                </c:pt>
                <c:pt idx="4">
                  <c:v>Dizel gorivo</c:v>
                </c:pt>
                <c:pt idx="5">
                  <c:v>Održavanje mehanizacije</c:v>
                </c:pt>
                <c:pt idx="6">
                  <c:v>Plaćene usluge mehanizacijom</c:v>
                </c:pt>
                <c:pt idx="7">
                  <c:v>Sezonska radna snaga</c:v>
                </c:pt>
                <c:pt idx="8">
                  <c:v>Ostali varijabilni troškovi</c:v>
                </c:pt>
                <c:pt idx="9">
                  <c:v>Osiguranje</c:v>
                </c:pt>
              </c:strCache>
            </c:strRef>
          </c:cat>
          <c:val>
            <c:numRef>
              <c:f>'8.Krompir'!$F$56:$F$65</c:f>
              <c:numCache>
                <c:formatCode>#,##0</c:formatCode>
                <c:ptCount val="10"/>
                <c:pt idx="0">
                  <c:v>114000</c:v>
                </c:pt>
                <c:pt idx="1">
                  <c:v>21000</c:v>
                </c:pt>
                <c:pt idx="2">
                  <c:v>33250</c:v>
                </c:pt>
                <c:pt idx="3">
                  <c:v>2175</c:v>
                </c:pt>
                <c:pt idx="4">
                  <c:v>15950</c:v>
                </c:pt>
                <c:pt idx="5">
                  <c:v>7278.3333333333339</c:v>
                </c:pt>
                <c:pt idx="6">
                  <c:v>6000</c:v>
                </c:pt>
                <c:pt idx="7">
                  <c:v>37500</c:v>
                </c:pt>
                <c:pt idx="8">
                  <c:v>108000</c:v>
                </c:pt>
                <c:pt idx="9">
                  <c:v>8500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717550</xdr:colOff>
      <xdr:row>3</xdr:row>
      <xdr:rowOff>34926</xdr:rowOff>
    </xdr:from>
    <xdr:to>
      <xdr:col>9</xdr:col>
      <xdr:colOff>542925</xdr:colOff>
      <xdr:row>17</xdr:row>
      <xdr:rowOff>9525</xdr:rowOff>
    </xdr:to>
    <xdr:sp macro="" textlink="">
      <xdr:nvSpPr>
        <xdr:cNvPr id="6" name="TextBox 5"/>
        <xdr:cNvSpPr txBox="1"/>
      </xdr:nvSpPr>
      <xdr:spPr>
        <a:xfrm>
          <a:off x="1470025" y="1558926"/>
          <a:ext cx="4597400" cy="2432049"/>
        </a:xfrm>
        <a:prstGeom prst="rect">
          <a:avLst/>
        </a:prstGeom>
        <a:solidFill>
          <a:schemeClr val="lt1"/>
        </a:solidFill>
        <a:ln w="15875" cap="rnd" cmpd="sng">
          <a:solidFill>
            <a:srgbClr val="333399"/>
          </a:solidFill>
          <a:bevel/>
        </a:ln>
        <a:scene3d>
          <a:camera prst="orthographicFront"/>
          <a:lightRig rig="threePt" dir="t">
            <a:rot lat="0" lon="0" rev="1200000"/>
          </a:lightRig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sr-Latn-CS" sz="1200" b="1">
              <a:latin typeface="Arial" pitchFamily="34" charset="0"/>
              <a:cs typeface="Arial" pitchFamily="34" charset="0"/>
            </a:rPr>
            <a:t>Uvod</a:t>
          </a:r>
          <a:endParaRPr lang="sr-Latn-CS" sz="1000" b="1">
            <a:latin typeface="Arial" pitchFamily="34" charset="0"/>
            <a:cs typeface="Arial" pitchFamily="34" charset="0"/>
          </a:endParaRPr>
        </a:p>
        <a:p>
          <a:endParaRPr lang="sr-Latn-CS" sz="70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Osnovna svrha </a:t>
          </a:r>
          <a:r>
            <a:rPr lang="sr-Latn-CS" sz="1000">
              <a:latin typeface="Arial" pitchFamily="34" charset="0"/>
              <a:cs typeface="Arial" pitchFamily="34" charset="0"/>
            </a:rPr>
            <a:t>obrazaca</a:t>
          </a:r>
          <a:r>
            <a:rPr lang="sr-Latn-CS" sz="1000" baseline="0">
              <a:latin typeface="Arial" pitchFamily="34" charset="0"/>
              <a:cs typeface="Arial" pitchFamily="34" charset="0"/>
            </a:rPr>
            <a:t> za izradu kalkulacija linija poljoprivredne proizvodnje </a:t>
          </a: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je da posluže poljoprivrednicima kao pomoćni alat u procesu izrade plana proizvodnje i obračuan ostvarenih rezultata. Kvalitet procesa planiranja zavisi od pretpostavki koje se unose u kalkulaciju. Tu se prvenstveno misli na realnost podataka o očekivanim prinosima, količinama inputa, cenama poljoprivrednih proizvoda i cenama inputa.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r-Latn-CS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Urađeni primeri  kalkulacija </a:t>
          </a:r>
          <a:r>
            <a:rPr kumimoji="0" lang="sr-Latn-CS" sz="1000" b="1" i="0" u="sng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nisu</a:t>
          </a:r>
          <a:r>
            <a:rPr kumimoji="0" lang="sr-Latn-CS" sz="1000" b="0" i="0" u="sng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sr-Latn-CS" sz="1000" b="1" i="0" u="sng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ni u kom slučaju preporuka</a:t>
          </a: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, već samo pomoć da se lakše razume način na koji obrasci funkcionišu.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r-Latn-CS" sz="5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Svaki radni list za izradu kalkulacije bruto marže sastoji se iz 4 segmenta: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	1. kalkulacije bruto marže,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	2. rezime kalkulacije,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	3. grafičkog prikaza i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CS" sz="10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	4. analize osetljivosti.</a:t>
          </a:r>
        </a:p>
      </xdr:txBody>
    </xdr:sp>
    <xdr:clientData/>
  </xdr:twoCellAnchor>
  <xdr:twoCellAnchor editAs="oneCell">
    <xdr:from>
      <xdr:col>1</xdr:col>
      <xdr:colOff>409661</xdr:colOff>
      <xdr:row>0</xdr:row>
      <xdr:rowOff>34637</xdr:rowOff>
    </xdr:from>
    <xdr:to>
      <xdr:col>3</xdr:col>
      <xdr:colOff>605277</xdr:colOff>
      <xdr:row>1</xdr:row>
      <xdr:rowOff>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866" y="34637"/>
          <a:ext cx="1918775" cy="1298864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593466</xdr:colOff>
      <xdr:row>0</xdr:row>
      <xdr:rowOff>7326</xdr:rowOff>
    </xdr:from>
    <xdr:to>
      <xdr:col>7</xdr:col>
      <xdr:colOff>404431</xdr:colOff>
      <xdr:row>0</xdr:row>
      <xdr:rowOff>597876</xdr:rowOff>
    </xdr:to>
    <xdr:pic>
      <xdr:nvPicPr>
        <xdr:cNvPr id="15364" name="Picture 4" descr="GI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60366" y="7326"/>
          <a:ext cx="2249365" cy="5905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597477</xdr:colOff>
      <xdr:row>0</xdr:row>
      <xdr:rowOff>600807</xdr:rowOff>
    </xdr:from>
    <xdr:to>
      <xdr:col>8</xdr:col>
      <xdr:colOff>432955</xdr:colOff>
      <xdr:row>1</xdr:row>
      <xdr:rowOff>7100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67841" y="600807"/>
          <a:ext cx="2866159" cy="739793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182562</xdr:colOff>
      <xdr:row>68</xdr:row>
      <xdr:rowOff>15874</xdr:rowOff>
    </xdr:from>
    <xdr:to>
      <xdr:col>9</xdr:col>
      <xdr:colOff>762000</xdr:colOff>
      <xdr:row>90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163512</xdr:colOff>
      <xdr:row>68</xdr:row>
      <xdr:rowOff>6348</xdr:rowOff>
    </xdr:from>
    <xdr:to>
      <xdr:col>9</xdr:col>
      <xdr:colOff>533400</xdr:colOff>
      <xdr:row>90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72</xdr:row>
      <xdr:rowOff>76200</xdr:rowOff>
    </xdr:from>
    <xdr:to>
      <xdr:col>8</xdr:col>
      <xdr:colOff>466725</xdr:colOff>
      <xdr:row>94</xdr:row>
      <xdr:rowOff>0</xdr:rowOff>
    </xdr:to>
    <xdr:graphicFrame macro="">
      <xdr:nvGraphicFramePr>
        <xdr:cNvPr id="10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192086</xdr:colOff>
      <xdr:row>62</xdr:row>
      <xdr:rowOff>196849</xdr:rowOff>
    </xdr:from>
    <xdr:to>
      <xdr:col>10</xdr:col>
      <xdr:colOff>809624</xdr:colOff>
      <xdr:row>89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163512</xdr:colOff>
      <xdr:row>75</xdr:row>
      <xdr:rowOff>187323</xdr:rowOff>
    </xdr:from>
    <xdr:to>
      <xdr:col>10</xdr:col>
      <xdr:colOff>742950</xdr:colOff>
      <xdr:row>101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</xdr:colOff>
      <xdr:row>64</xdr:row>
      <xdr:rowOff>6348</xdr:rowOff>
    </xdr:from>
    <xdr:to>
      <xdr:col>11</xdr:col>
      <xdr:colOff>19050</xdr:colOff>
      <xdr:row>87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46384</xdr:colOff>
      <xdr:row>0</xdr:row>
      <xdr:rowOff>264216</xdr:rowOff>
    </xdr:from>
    <xdr:to>
      <xdr:col>20</xdr:col>
      <xdr:colOff>602146</xdr:colOff>
      <xdr:row>21</xdr:row>
      <xdr:rowOff>16566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41</xdr:row>
      <xdr:rowOff>95250</xdr:rowOff>
    </xdr:from>
    <xdr:to>
      <xdr:col>7</xdr:col>
      <xdr:colOff>438150</xdr:colOff>
      <xdr:row>41</xdr:row>
      <xdr:rowOff>95250</xdr:rowOff>
    </xdr:to>
    <xdr:cxnSp macro="">
      <xdr:nvCxnSpPr>
        <xdr:cNvPr id="3" name="Straight Arrow Connector 2"/>
        <xdr:cNvCxnSpPr/>
      </xdr:nvCxnSpPr>
      <xdr:spPr>
        <a:xfrm flipH="1">
          <a:off x="5676900" y="7219950"/>
          <a:ext cx="1085850" cy="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192087</xdr:colOff>
      <xdr:row>69</xdr:row>
      <xdr:rowOff>44450</xdr:rowOff>
    </xdr:from>
    <xdr:to>
      <xdr:col>9</xdr:col>
      <xdr:colOff>771525</xdr:colOff>
      <xdr:row>90</xdr:row>
      <xdr:rowOff>152401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182562</xdr:colOff>
      <xdr:row>68</xdr:row>
      <xdr:rowOff>15874</xdr:rowOff>
    </xdr:from>
    <xdr:to>
      <xdr:col>9</xdr:col>
      <xdr:colOff>762000</xdr:colOff>
      <xdr:row>90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182562</xdr:colOff>
      <xdr:row>68</xdr:row>
      <xdr:rowOff>15874</xdr:rowOff>
    </xdr:from>
    <xdr:to>
      <xdr:col>9</xdr:col>
      <xdr:colOff>762000</xdr:colOff>
      <xdr:row>90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220662</xdr:colOff>
      <xdr:row>67</xdr:row>
      <xdr:rowOff>196849</xdr:rowOff>
    </xdr:from>
    <xdr:to>
      <xdr:col>9</xdr:col>
      <xdr:colOff>800100</xdr:colOff>
      <xdr:row>91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220662</xdr:colOff>
      <xdr:row>67</xdr:row>
      <xdr:rowOff>196849</xdr:rowOff>
    </xdr:from>
    <xdr:to>
      <xdr:col>9</xdr:col>
      <xdr:colOff>800100</xdr:colOff>
      <xdr:row>91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153987</xdr:colOff>
      <xdr:row>70</xdr:row>
      <xdr:rowOff>184148</xdr:rowOff>
    </xdr:from>
    <xdr:to>
      <xdr:col>9</xdr:col>
      <xdr:colOff>733425</xdr:colOff>
      <xdr:row>94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povicr@ef.uns.ac.r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33"/>
  <sheetViews>
    <sheetView tabSelected="1" zoomScale="110" zoomScaleNormal="110" workbookViewId="0">
      <selection activeCell="N1" sqref="N1"/>
    </sheetView>
  </sheetViews>
  <sheetFormatPr defaultRowHeight="12.75"/>
  <cols>
    <col min="1" max="1" width="2.140625" style="2" customWidth="1"/>
    <col min="2" max="2" width="9.140625" style="2"/>
    <col min="3" max="3" width="16.7109375" style="2" customWidth="1"/>
    <col min="4" max="9" width="9.140625" style="2"/>
    <col min="10" max="10" width="9.85546875" style="2" customWidth="1"/>
    <col min="11" max="16384" width="9.140625" style="2"/>
  </cols>
  <sheetData>
    <row r="1" spans="2:9" ht="105" customHeight="1">
      <c r="I1"/>
    </row>
    <row r="2" spans="2:9" ht="23.25">
      <c r="B2" s="82" t="s">
        <v>487</v>
      </c>
    </row>
    <row r="3" spans="2:9" ht="10.5" customHeight="1">
      <c r="B3" s="82"/>
    </row>
    <row r="4" spans="2:9">
      <c r="B4" s="20" t="s">
        <v>188</v>
      </c>
    </row>
    <row r="5" spans="2:9" s="3" customFormat="1" ht="14.25">
      <c r="B5" s="245" t="s">
        <v>189</v>
      </c>
    </row>
    <row r="6" spans="2:9" s="3" customFormat="1" ht="14.25">
      <c r="B6" s="245" t="s">
        <v>190</v>
      </c>
    </row>
    <row r="7" spans="2:9" s="3" customFormat="1" ht="14.25">
      <c r="B7" s="245" t="s">
        <v>193</v>
      </c>
      <c r="E7" s="246"/>
    </row>
    <row r="8" spans="2:9" s="3" customFormat="1" ht="14.25">
      <c r="B8" s="245" t="s">
        <v>194</v>
      </c>
      <c r="E8" s="246"/>
    </row>
    <row r="9" spans="2:9" s="3" customFormat="1" ht="14.25">
      <c r="B9" s="245" t="s">
        <v>459</v>
      </c>
      <c r="E9" s="246"/>
    </row>
    <row r="10" spans="2:9" s="3" customFormat="1" ht="14.25">
      <c r="B10" s="245" t="s">
        <v>460</v>
      </c>
      <c r="E10" s="246"/>
    </row>
    <row r="11" spans="2:9" s="3" customFormat="1" ht="14.25">
      <c r="B11" s="245" t="s">
        <v>461</v>
      </c>
      <c r="E11" s="246"/>
    </row>
    <row r="12" spans="2:9" s="3" customFormat="1" ht="14.25">
      <c r="B12" s="245" t="s">
        <v>462</v>
      </c>
    </row>
    <row r="13" spans="2:9" s="3" customFormat="1" ht="14.25">
      <c r="B13" s="245" t="s">
        <v>463</v>
      </c>
      <c r="E13" s="246"/>
    </row>
    <row r="14" spans="2:9" s="3" customFormat="1" ht="14.25">
      <c r="B14" s="245" t="s">
        <v>464</v>
      </c>
      <c r="E14" s="246"/>
    </row>
    <row r="15" spans="2:9" ht="14.25">
      <c r="B15" s="245" t="s">
        <v>466</v>
      </c>
    </row>
    <row r="16" spans="2:9" ht="14.25">
      <c r="B16" s="245" t="s">
        <v>465</v>
      </c>
    </row>
    <row r="19" spans="2:9" ht="15">
      <c r="B19" s="247" t="s">
        <v>494</v>
      </c>
    </row>
    <row r="21" spans="2:9">
      <c r="B21" s="2" t="s">
        <v>492</v>
      </c>
      <c r="G21" s="249"/>
    </row>
    <row r="23" spans="2:9">
      <c r="B23" s="2" t="s">
        <v>491</v>
      </c>
      <c r="I23" s="64"/>
    </row>
    <row r="24" spans="2:9">
      <c r="B24" s="2" t="s">
        <v>498</v>
      </c>
      <c r="I24" s="64"/>
    </row>
    <row r="25" spans="2:9">
      <c r="I25" s="64"/>
    </row>
    <row r="26" spans="2:9">
      <c r="B26" s="2" t="s">
        <v>471</v>
      </c>
      <c r="I26" s="64"/>
    </row>
    <row r="27" spans="2:9">
      <c r="B27" s="2" t="s">
        <v>472</v>
      </c>
      <c r="I27" s="64"/>
    </row>
    <row r="28" spans="2:9">
      <c r="I28" s="64"/>
    </row>
    <row r="29" spans="2:9">
      <c r="B29" s="2" t="s">
        <v>499</v>
      </c>
      <c r="E29" s="344"/>
      <c r="F29" s="2" t="s">
        <v>500</v>
      </c>
      <c r="I29" s="64"/>
    </row>
    <row r="30" spans="2:9">
      <c r="B30" s="2" t="s">
        <v>501</v>
      </c>
      <c r="I30" s="64"/>
    </row>
    <row r="31" spans="2:9">
      <c r="B31" s="2" t="s">
        <v>502</v>
      </c>
      <c r="I31" s="64"/>
    </row>
    <row r="32" spans="2:9">
      <c r="B32" s="2" t="s">
        <v>503</v>
      </c>
      <c r="I32" s="64"/>
    </row>
    <row r="33" spans="2:10">
      <c r="B33" s="2" t="s">
        <v>504</v>
      </c>
      <c r="I33" s="64"/>
    </row>
    <row r="34" spans="2:10">
      <c r="I34" s="64"/>
    </row>
    <row r="35" spans="2:10">
      <c r="B35" s="2" t="s">
        <v>327</v>
      </c>
      <c r="E35" s="160"/>
      <c r="F35" s="2" t="s">
        <v>328</v>
      </c>
      <c r="I35" s="64"/>
    </row>
    <row r="36" spans="2:10">
      <c r="B36" s="2" t="s">
        <v>329</v>
      </c>
      <c r="E36" s="64"/>
      <c r="I36" s="64"/>
    </row>
    <row r="37" spans="2:10" ht="12.75" customHeight="1">
      <c r="E37" s="64"/>
      <c r="I37" s="64"/>
    </row>
    <row r="38" spans="2:10">
      <c r="B38" s="2" t="s">
        <v>330</v>
      </c>
      <c r="E38" s="64"/>
      <c r="I38" s="64"/>
    </row>
    <row r="39" spans="2:10">
      <c r="B39" s="2" t="s">
        <v>505</v>
      </c>
      <c r="E39" s="64"/>
      <c r="I39" s="64"/>
    </row>
    <row r="40" spans="2:10">
      <c r="B40" s="2" t="s">
        <v>506</v>
      </c>
      <c r="E40" s="64"/>
      <c r="I40" s="64"/>
    </row>
    <row r="41" spans="2:10">
      <c r="E41" s="64"/>
      <c r="I41" s="64"/>
    </row>
    <row r="42" spans="2:10">
      <c r="B42" s="2" t="s">
        <v>476</v>
      </c>
      <c r="E42" s="64"/>
      <c r="I42" s="64"/>
    </row>
    <row r="43" spans="2:10">
      <c r="B43" s="2" t="s">
        <v>333</v>
      </c>
      <c r="E43" s="64"/>
      <c r="I43" s="64"/>
    </row>
    <row r="44" spans="2:10">
      <c r="E44" s="64"/>
      <c r="I44" s="64"/>
    </row>
    <row r="45" spans="2:10">
      <c r="B45" s="2" t="s">
        <v>331</v>
      </c>
      <c r="E45" s="64"/>
      <c r="I45" s="64"/>
    </row>
    <row r="46" spans="2:10">
      <c r="B46" s="2" t="s">
        <v>332</v>
      </c>
      <c r="E46" s="64"/>
      <c r="I46" s="64"/>
    </row>
    <row r="47" spans="2:10">
      <c r="B47" s="2" t="s">
        <v>477</v>
      </c>
      <c r="E47" s="64"/>
      <c r="I47" s="64"/>
      <c r="J47" s="268"/>
    </row>
    <row r="48" spans="2:10">
      <c r="B48" s="2" t="s">
        <v>369</v>
      </c>
      <c r="E48" s="64"/>
      <c r="I48" s="64"/>
    </row>
    <row r="49" spans="2:9">
      <c r="B49" s="2" t="s">
        <v>368</v>
      </c>
      <c r="E49" s="64"/>
      <c r="I49" s="64"/>
    </row>
    <row r="50" spans="2:9">
      <c r="B50" s="2" t="s">
        <v>370</v>
      </c>
      <c r="E50" s="64"/>
      <c r="I50" s="64"/>
    </row>
    <row r="51" spans="2:9">
      <c r="B51" s="2" t="s">
        <v>371</v>
      </c>
      <c r="E51" s="64"/>
      <c r="I51" s="64"/>
    </row>
    <row r="52" spans="2:9">
      <c r="B52" s="2" t="s">
        <v>372</v>
      </c>
      <c r="E52" s="64"/>
      <c r="I52" s="64"/>
    </row>
    <row r="53" spans="2:9">
      <c r="E53" s="64"/>
      <c r="I53" s="64"/>
    </row>
    <row r="54" spans="2:9">
      <c r="B54" s="2" t="s">
        <v>335</v>
      </c>
      <c r="E54" s="64"/>
      <c r="I54" s="64"/>
    </row>
    <row r="55" spans="2:9">
      <c r="B55" s="2" t="s">
        <v>336</v>
      </c>
      <c r="I55" s="64"/>
    </row>
    <row r="56" spans="2:9">
      <c r="I56" s="64"/>
    </row>
    <row r="57" spans="2:9" ht="15">
      <c r="B57" s="247" t="s">
        <v>334</v>
      </c>
    </row>
    <row r="58" spans="2:9" ht="5.25" customHeight="1"/>
    <row r="59" spans="2:9">
      <c r="B59" s="2" t="s">
        <v>337</v>
      </c>
    </row>
    <row r="60" spans="2:9">
      <c r="B60" s="253" t="s">
        <v>338</v>
      </c>
    </row>
    <row r="61" spans="2:9">
      <c r="B61" s="253" t="s">
        <v>373</v>
      </c>
    </row>
    <row r="62" spans="2:9">
      <c r="B62" s="253" t="s">
        <v>339</v>
      </c>
    </row>
    <row r="63" spans="2:9">
      <c r="B63" s="253" t="s">
        <v>340</v>
      </c>
    </row>
    <row r="64" spans="2:9">
      <c r="B64" s="253"/>
    </row>
    <row r="65" spans="2:2">
      <c r="B65" s="253" t="s">
        <v>475</v>
      </c>
    </row>
    <row r="66" spans="2:2">
      <c r="B66" s="253" t="s">
        <v>507</v>
      </c>
    </row>
    <row r="67" spans="2:2">
      <c r="B67" s="2" t="s">
        <v>509</v>
      </c>
    </row>
    <row r="68" spans="2:2">
      <c r="B68" s="253" t="s">
        <v>511</v>
      </c>
    </row>
    <row r="69" spans="2:2">
      <c r="B69" s="253" t="s">
        <v>510</v>
      </c>
    </row>
    <row r="70" spans="2:2">
      <c r="B70" s="253" t="s">
        <v>508</v>
      </c>
    </row>
    <row r="72" spans="2:2">
      <c r="B72" s="253" t="s">
        <v>493</v>
      </c>
    </row>
    <row r="73" spans="2:2">
      <c r="B73" s="253" t="s">
        <v>480</v>
      </c>
    </row>
    <row r="74" spans="2:2">
      <c r="B74" s="253" t="s">
        <v>484</v>
      </c>
    </row>
    <row r="75" spans="2:2">
      <c r="B75" s="253" t="s">
        <v>479</v>
      </c>
    </row>
    <row r="76" spans="2:2">
      <c r="B76" s="253" t="s">
        <v>481</v>
      </c>
    </row>
    <row r="77" spans="2:2">
      <c r="B77" s="253" t="s">
        <v>482</v>
      </c>
    </row>
    <row r="78" spans="2:2">
      <c r="B78" s="253" t="s">
        <v>483</v>
      </c>
    </row>
    <row r="79" spans="2:2">
      <c r="B79" s="253" t="s">
        <v>485</v>
      </c>
    </row>
    <row r="80" spans="2:2">
      <c r="B80" s="253" t="s">
        <v>486</v>
      </c>
    </row>
    <row r="81" spans="2:3">
      <c r="B81" s="253"/>
    </row>
    <row r="82" spans="2:3">
      <c r="B82" s="253" t="s">
        <v>349</v>
      </c>
    </row>
    <row r="83" spans="2:3">
      <c r="B83" s="253" t="s">
        <v>355</v>
      </c>
    </row>
    <row r="84" spans="2:3">
      <c r="B84" s="253" t="s">
        <v>350</v>
      </c>
    </row>
    <row r="85" spans="2:3">
      <c r="B85" s="253" t="s">
        <v>351</v>
      </c>
    </row>
    <row r="86" spans="2:3">
      <c r="B86" s="253"/>
    </row>
    <row r="87" spans="2:3">
      <c r="B87" s="2" t="s">
        <v>356</v>
      </c>
    </row>
    <row r="89" spans="2:3" ht="15">
      <c r="B89" s="247" t="s">
        <v>478</v>
      </c>
    </row>
    <row r="90" spans="2:3" ht="5.25" customHeight="1"/>
    <row r="91" spans="2:3">
      <c r="B91" s="2" t="s">
        <v>341</v>
      </c>
    </row>
    <row r="92" spans="2:3">
      <c r="B92" s="2" t="s">
        <v>343</v>
      </c>
    </row>
    <row r="94" spans="2:3">
      <c r="C94" s="2" t="s">
        <v>346</v>
      </c>
    </row>
    <row r="95" spans="2:3">
      <c r="C95" s="2" t="s">
        <v>347</v>
      </c>
    </row>
    <row r="96" spans="2:3">
      <c r="C96" s="2" t="s">
        <v>348</v>
      </c>
    </row>
    <row r="97" spans="2:10">
      <c r="C97" s="2" t="s">
        <v>344</v>
      </c>
    </row>
    <row r="98" spans="2:10">
      <c r="C98" s="2" t="s">
        <v>364</v>
      </c>
    </row>
    <row r="99" spans="2:10">
      <c r="C99" s="2" t="s">
        <v>345</v>
      </c>
    </row>
    <row r="100" spans="2:10">
      <c r="C100" s="2" t="s">
        <v>353</v>
      </c>
    </row>
    <row r="101" spans="2:10">
      <c r="C101" s="2" t="s">
        <v>365</v>
      </c>
    </row>
    <row r="102" spans="2:10">
      <c r="C102" s="2" t="s">
        <v>354</v>
      </c>
    </row>
    <row r="104" spans="2:10">
      <c r="B104" s="64" t="s">
        <v>473</v>
      </c>
      <c r="C104" s="64"/>
      <c r="D104" s="64"/>
      <c r="E104" s="64"/>
      <c r="F104" s="64"/>
      <c r="G104" s="64"/>
      <c r="H104" s="64"/>
      <c r="I104" s="64"/>
      <c r="J104" s="64"/>
    </row>
    <row r="105" spans="2:10">
      <c r="B105" s="64" t="s">
        <v>474</v>
      </c>
      <c r="C105" s="64"/>
      <c r="D105" s="64"/>
      <c r="E105" s="64"/>
      <c r="F105" s="64"/>
      <c r="G105" s="64"/>
      <c r="H105" s="64"/>
      <c r="I105" s="64"/>
      <c r="J105" s="64"/>
    </row>
    <row r="106" spans="2:10">
      <c r="B106" s="64"/>
      <c r="C106" s="64"/>
      <c r="D106" s="64"/>
      <c r="E106" s="64"/>
      <c r="F106" s="64"/>
      <c r="G106" s="64"/>
      <c r="H106" s="64"/>
      <c r="I106" s="64"/>
      <c r="J106" s="64"/>
    </row>
    <row r="108" spans="2:10">
      <c r="B108" s="2" t="s">
        <v>352</v>
      </c>
    </row>
    <row r="109" spans="2:10">
      <c r="C109" s="2" t="s">
        <v>87</v>
      </c>
    </row>
    <row r="110" spans="2:10">
      <c r="C110" s="2" t="s">
        <v>88</v>
      </c>
    </row>
    <row r="111" spans="2:10">
      <c r="C111" s="2" t="s">
        <v>89</v>
      </c>
    </row>
    <row r="112" spans="2:10">
      <c r="C112" s="2" t="s">
        <v>90</v>
      </c>
    </row>
    <row r="113" spans="3:5" ht="14.25">
      <c r="C113" s="248" t="s">
        <v>91</v>
      </c>
    </row>
    <row r="114" spans="3:5">
      <c r="C114" s="2" t="s">
        <v>92</v>
      </c>
    </row>
    <row r="123" spans="3:5" ht="15">
      <c r="C123" s="250"/>
    </row>
    <row r="124" spans="3:5" ht="15">
      <c r="C124" s="251"/>
      <c r="E124" s="251"/>
    </row>
    <row r="125" spans="3:5" ht="15">
      <c r="C125" s="251"/>
      <c r="E125" s="251"/>
    </row>
    <row r="126" spans="3:5" ht="15">
      <c r="C126" s="251"/>
      <c r="E126" s="251"/>
    </row>
    <row r="127" spans="3:5" ht="15">
      <c r="C127" s="251"/>
      <c r="D127" s="251"/>
    </row>
    <row r="128" spans="3:5" ht="15">
      <c r="C128" s="251"/>
      <c r="D128" s="251"/>
    </row>
    <row r="129" spans="3:3" ht="15">
      <c r="C129" s="251"/>
    </row>
    <row r="132" spans="3:3" ht="15">
      <c r="C132" s="250"/>
    </row>
    <row r="133" spans="3:3">
      <c r="C133" s="252"/>
    </row>
  </sheetData>
  <sheetProtection password="B310" sheet="1" objects="1" scenarios="1"/>
  <protectedRanges>
    <protectedRange sqref="B12:B16 B5:B8 B10" name="Range1"/>
  </protectedRanges>
  <hyperlinks>
    <hyperlink ref="C113" r:id="rId1"/>
    <hyperlink ref="B5" location="'1.Kukuruz'!A1" display="1.Kukuruz"/>
    <hyperlink ref="B6" location="'2.Pšenica'!A1" display="2.Pšenica"/>
    <hyperlink ref="B7" location="'3.Soja'!A1" display="3.Soja"/>
    <hyperlink ref="B8" location="'4.Suncokret'!A1" display="4.Suncokret"/>
    <hyperlink ref="B10" location="'6.Š.Repa'!A1" display="6.Šećerna repa"/>
    <hyperlink ref="B12" location="'8.Krompir'!A1" display="8.Krompir"/>
    <hyperlink ref="B13" location="'9.Lucerka'!A1" display="9.Lucerka"/>
    <hyperlink ref="B14" location="'10.Tov svinja'!A1" display="10.Tov svinja"/>
    <hyperlink ref="B15" location="'11.Mleko'!A1" display="11.Mleko"/>
    <hyperlink ref="B16" location="'12.Tov pilića'!A1" display="12.Tov pilića"/>
    <hyperlink ref="B9" location="'5.Uljana repica'!A1" display="5.Uljana repica"/>
    <hyperlink ref="B11" location="'7.Ječam'!A1" display="7.Ječam"/>
  </hyperlinks>
  <pageMargins left="0.7" right="0.7" top="0.75" bottom="0.75" header="0.3" footer="0.3"/>
  <pageSetup paperSize="9" scale="96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DC224"/>
  <sheetViews>
    <sheetView zoomScale="120" zoomScaleNormal="120" zoomScaleSheetLayoutView="100" workbookViewId="0">
      <selection activeCell="F14" sqref="F14"/>
    </sheetView>
  </sheetViews>
  <sheetFormatPr defaultRowHeight="14.25"/>
  <cols>
    <col min="1" max="1" width="2.7109375" style="3" customWidth="1"/>
    <col min="2" max="2" width="3.5703125" style="3" bestFit="1" customWidth="1"/>
    <col min="3" max="3" width="6.7109375" style="3" customWidth="1"/>
    <col min="4" max="4" width="21.28515625" style="3" customWidth="1"/>
    <col min="5" max="5" width="7.42578125" style="3" customWidth="1"/>
    <col min="6" max="6" width="12" style="3" customWidth="1"/>
    <col min="7" max="7" width="8.7109375" style="3" bestFit="1" customWidth="1"/>
    <col min="8" max="8" width="10.7109375" style="3" customWidth="1"/>
    <col min="9" max="9" width="8.7109375" style="3" bestFit="1" customWidth="1"/>
    <col min="10" max="10" width="16.28515625" style="3" customWidth="1"/>
    <col min="11" max="11" width="2.42578125" style="3" customWidth="1"/>
    <col min="12" max="12" width="10.5703125" style="2" customWidth="1"/>
    <col min="13" max="14" width="2.28515625" style="3" customWidth="1"/>
    <col min="15" max="15" width="20.7109375" style="3" customWidth="1"/>
    <col min="16" max="18" width="9.140625" style="3"/>
    <col min="19" max="19" width="19.85546875" style="3" customWidth="1"/>
    <col min="20" max="80" width="9.140625" style="3"/>
    <col min="81" max="81" width="19.42578125" style="3" customWidth="1"/>
    <col min="82" max="89" width="9.140625" style="3"/>
    <col min="90" max="91" width="3.5703125" style="3" customWidth="1"/>
    <col min="92" max="92" width="24" style="3" customWidth="1"/>
    <col min="93" max="100" width="9.140625" style="3"/>
    <col min="101" max="103" width="2.28515625" style="3" customWidth="1"/>
    <col min="104" max="104" width="12.5703125" style="3" bestFit="1" customWidth="1"/>
    <col min="105" max="16384" width="9.140625" style="3"/>
  </cols>
  <sheetData>
    <row r="1" spans="2:18" ht="23.25">
      <c r="C1" s="82" t="s">
        <v>442</v>
      </c>
      <c r="O1" s="331" t="s">
        <v>426</v>
      </c>
      <c r="P1" s="331"/>
      <c r="Q1" s="331"/>
      <c r="R1" s="331"/>
    </row>
    <row r="2" spans="2:18">
      <c r="O2" s="331" t="s">
        <v>428</v>
      </c>
      <c r="P2" s="331"/>
      <c r="Q2" s="331"/>
      <c r="R2" s="331"/>
    </row>
    <row r="3" spans="2:18" ht="15.75" thickBot="1">
      <c r="C3" s="89" t="s">
        <v>443</v>
      </c>
      <c r="D3" s="89"/>
      <c r="E3" s="89"/>
      <c r="F3" s="89"/>
      <c r="G3" s="89"/>
      <c r="H3" s="89"/>
      <c r="L3" s="81" t="s">
        <v>0</v>
      </c>
      <c r="O3" s="317"/>
      <c r="P3" s="316" t="s">
        <v>381</v>
      </c>
      <c r="Q3" s="316" t="s">
        <v>415</v>
      </c>
      <c r="R3" s="316" t="s">
        <v>416</v>
      </c>
    </row>
    <row r="4" spans="2:18" ht="15.75" thickBot="1">
      <c r="C4" s="90" t="s">
        <v>137</v>
      </c>
      <c r="D4" s="90"/>
      <c r="E4" s="90"/>
      <c r="F4" s="98" t="s">
        <v>406</v>
      </c>
      <c r="L4" s="25"/>
      <c r="O4" s="318" t="s">
        <v>427</v>
      </c>
      <c r="P4" s="319">
        <f t="shared" ref="P4:R5" si="0">+CI218</f>
        <v>108.5</v>
      </c>
      <c r="Q4" s="319">
        <f t="shared" si="0"/>
        <v>73.5</v>
      </c>
      <c r="R4" s="319">
        <f t="shared" si="0"/>
        <v>49</v>
      </c>
    </row>
    <row r="5" spans="2:18" ht="15.75" thickBot="1">
      <c r="L5" s="26"/>
      <c r="O5" s="332" t="s">
        <v>429</v>
      </c>
      <c r="P5" s="333">
        <f t="shared" si="0"/>
        <v>1</v>
      </c>
      <c r="Q5" s="333">
        <f t="shared" si="0"/>
        <v>8.5</v>
      </c>
      <c r="R5" s="333">
        <f t="shared" si="0"/>
        <v>11</v>
      </c>
    </row>
    <row r="6" spans="2:18" ht="38.25">
      <c r="E6" s="150" t="s">
        <v>150</v>
      </c>
      <c r="F6" s="123" t="s">
        <v>3</v>
      </c>
      <c r="G6" s="125" t="s">
        <v>4</v>
      </c>
      <c r="H6" s="123" t="s">
        <v>5</v>
      </c>
      <c r="I6" s="125" t="s">
        <v>4</v>
      </c>
      <c r="J6" s="123" t="s">
        <v>63</v>
      </c>
      <c r="L6" s="26"/>
      <c r="O6" s="324" t="s">
        <v>454</v>
      </c>
      <c r="P6" s="323" t="str">
        <f t="shared" ref="P6:R7" si="1">IF($J$9&gt;100,CT218,"0")</f>
        <v>0</v>
      </c>
      <c r="Q6" s="323" t="str">
        <f t="shared" si="1"/>
        <v>0</v>
      </c>
      <c r="R6" s="323" t="str">
        <f t="shared" si="1"/>
        <v>0</v>
      </c>
    </row>
    <row r="7" spans="2:18" ht="15.75" thickBot="1">
      <c r="B7" s="32" t="s">
        <v>6</v>
      </c>
      <c r="C7" s="33" t="s">
        <v>7</v>
      </c>
      <c r="D7" s="34"/>
      <c r="E7" s="35"/>
      <c r="F7" s="4"/>
      <c r="G7" s="4"/>
      <c r="H7" s="4"/>
      <c r="I7" s="4"/>
      <c r="J7" s="4"/>
      <c r="L7" s="27"/>
      <c r="O7" s="332" t="s">
        <v>429</v>
      </c>
      <c r="P7" s="334" t="str">
        <f t="shared" si="1"/>
        <v>0</v>
      </c>
      <c r="Q7" s="335" t="str">
        <f t="shared" si="1"/>
        <v>0</v>
      </c>
      <c r="R7" s="335" t="str">
        <f t="shared" si="1"/>
        <v>0</v>
      </c>
    </row>
    <row r="8" spans="2:18" ht="15">
      <c r="B8" s="5" t="s">
        <v>8</v>
      </c>
      <c r="C8" s="36" t="s">
        <v>213</v>
      </c>
      <c r="E8" s="37">
        <v>1</v>
      </c>
      <c r="F8" s="83">
        <v>7000</v>
      </c>
      <c r="G8" s="6" t="s">
        <v>20</v>
      </c>
      <c r="H8" s="149">
        <v>16.5</v>
      </c>
      <c r="I8" s="6" t="s">
        <v>21</v>
      </c>
      <c r="J8" s="38">
        <f>E8*F8*H8</f>
        <v>115500</v>
      </c>
      <c r="L8" s="26"/>
    </row>
    <row r="9" spans="2:18" ht="15.75" thickBot="1">
      <c r="B9" s="5" t="s">
        <v>11</v>
      </c>
      <c r="C9" s="29" t="s">
        <v>115</v>
      </c>
      <c r="E9" s="39">
        <v>1</v>
      </c>
      <c r="F9" s="99">
        <v>5</v>
      </c>
      <c r="G9" s="3" t="s">
        <v>2</v>
      </c>
      <c r="H9" s="51"/>
      <c r="I9" s="3" t="s">
        <v>10</v>
      </c>
      <c r="J9" s="40">
        <f>E9*F9*H9</f>
        <v>0</v>
      </c>
      <c r="L9" s="26" t="s">
        <v>417</v>
      </c>
    </row>
    <row r="10" spans="2:18" ht="15.75" thickBot="1">
      <c r="B10" s="41"/>
      <c r="C10" s="42" t="s">
        <v>46</v>
      </c>
      <c r="D10" s="43"/>
      <c r="E10" s="43"/>
      <c r="F10" s="44"/>
      <c r="G10" s="45"/>
      <c r="H10" s="44"/>
      <c r="I10" s="45"/>
      <c r="J10" s="46">
        <f>SUM(J8:J9)</f>
        <v>115500</v>
      </c>
      <c r="L10" s="26"/>
    </row>
    <row r="11" spans="2:18" ht="15">
      <c r="B11" s="47" t="s">
        <v>13</v>
      </c>
      <c r="C11" s="29" t="s">
        <v>14</v>
      </c>
      <c r="E11" s="48"/>
      <c r="F11" s="8"/>
      <c r="H11" s="8"/>
      <c r="J11" s="49"/>
      <c r="L11" s="26"/>
    </row>
    <row r="12" spans="2:18">
      <c r="B12" s="5" t="s">
        <v>8</v>
      </c>
      <c r="C12" s="4" t="s">
        <v>15</v>
      </c>
      <c r="E12" s="65">
        <v>1</v>
      </c>
      <c r="F12" s="126">
        <v>250</v>
      </c>
      <c r="G12" s="4" t="s">
        <v>96</v>
      </c>
      <c r="H12" s="51">
        <v>40</v>
      </c>
      <c r="I12" s="4" t="s">
        <v>17</v>
      </c>
      <c r="J12" s="49">
        <f t="shared" ref="J12" si="2">E12*F12*H12</f>
        <v>10000</v>
      </c>
      <c r="L12" s="26"/>
    </row>
    <row r="13" spans="2:18">
      <c r="B13" s="10" t="s">
        <v>11</v>
      </c>
      <c r="C13" s="4" t="s">
        <v>106</v>
      </c>
      <c r="E13" s="65"/>
      <c r="F13" s="9"/>
      <c r="G13" s="4"/>
      <c r="H13" s="9"/>
      <c r="I13" s="4"/>
      <c r="J13" s="49"/>
      <c r="L13" s="26"/>
    </row>
    <row r="14" spans="2:18">
      <c r="C14" s="11"/>
      <c r="D14" s="52" t="s">
        <v>19</v>
      </c>
      <c r="E14" s="305">
        <v>1</v>
      </c>
      <c r="F14" s="51">
        <v>20000</v>
      </c>
      <c r="G14" s="3" t="s">
        <v>96</v>
      </c>
      <c r="H14" s="66">
        <v>1.5</v>
      </c>
      <c r="I14" s="3" t="s">
        <v>21</v>
      </c>
      <c r="J14" s="49">
        <f>H14*F14*IF(E14=1,0.5, IF(E14=2,0.3,IF(E14=3,0.2,"0")))</f>
        <v>15000</v>
      </c>
      <c r="L14" s="26" t="s">
        <v>420</v>
      </c>
    </row>
    <row r="15" spans="2:18">
      <c r="C15" s="11"/>
      <c r="D15" s="52" t="s">
        <v>408</v>
      </c>
      <c r="E15" s="65">
        <v>1</v>
      </c>
      <c r="F15" s="51"/>
      <c r="G15" s="3" t="s">
        <v>96</v>
      </c>
      <c r="H15" s="66"/>
      <c r="I15" s="3" t="s">
        <v>21</v>
      </c>
      <c r="J15" s="49">
        <f t="shared" ref="J15:J17" si="3">E15*F15*H15</f>
        <v>0</v>
      </c>
      <c r="L15" s="26"/>
    </row>
    <row r="16" spans="2:18">
      <c r="C16" s="11"/>
      <c r="D16" s="52" t="s">
        <v>412</v>
      </c>
      <c r="E16" s="65">
        <v>1</v>
      </c>
      <c r="F16" s="51">
        <v>100</v>
      </c>
      <c r="G16" s="3" t="s">
        <v>96</v>
      </c>
      <c r="H16" s="66">
        <v>51.5</v>
      </c>
      <c r="I16" s="3" t="s">
        <v>21</v>
      </c>
      <c r="J16" s="49">
        <f t="shared" si="3"/>
        <v>5150</v>
      </c>
      <c r="L16" s="26"/>
    </row>
    <row r="17" spans="2:18">
      <c r="C17" s="11"/>
      <c r="D17" s="52" t="s">
        <v>411</v>
      </c>
      <c r="E17" s="65">
        <v>1</v>
      </c>
      <c r="F17" s="51">
        <v>100</v>
      </c>
      <c r="G17" s="3" t="s">
        <v>96</v>
      </c>
      <c r="H17" s="66">
        <v>31</v>
      </c>
      <c r="I17" s="3" t="s">
        <v>21</v>
      </c>
      <c r="J17" s="49">
        <f t="shared" si="3"/>
        <v>3100</v>
      </c>
      <c r="L17" s="26"/>
    </row>
    <row r="18" spans="2:18">
      <c r="D18" s="52"/>
      <c r="E18" s="65">
        <v>1</v>
      </c>
      <c r="F18" s="51"/>
      <c r="G18" s="3" t="s">
        <v>96</v>
      </c>
      <c r="H18" s="66"/>
      <c r="I18" s="3" t="s">
        <v>21</v>
      </c>
      <c r="J18" s="49">
        <f t="shared" ref="J18:J44" si="4">E18*F18*H18</f>
        <v>0</v>
      </c>
      <c r="L18" s="26"/>
    </row>
    <row r="19" spans="2:18" ht="15">
      <c r="D19" s="52"/>
      <c r="E19" s="65">
        <v>1</v>
      </c>
      <c r="F19" s="51"/>
      <c r="G19" s="3" t="s">
        <v>96</v>
      </c>
      <c r="H19" s="66"/>
      <c r="I19" s="3" t="s">
        <v>21</v>
      </c>
      <c r="J19" s="49">
        <f t="shared" si="4"/>
        <v>0</v>
      </c>
      <c r="L19" s="26"/>
      <c r="P19" s="307" t="s">
        <v>381</v>
      </c>
      <c r="Q19" s="307" t="s">
        <v>415</v>
      </c>
      <c r="R19" s="307" t="s">
        <v>416</v>
      </c>
    </row>
    <row r="20" spans="2:18">
      <c r="D20" s="320"/>
      <c r="E20" s="65">
        <v>1</v>
      </c>
      <c r="F20" s="51"/>
      <c r="G20" s="3" t="s">
        <v>96</v>
      </c>
      <c r="H20" s="66"/>
      <c r="I20" s="3" t="s">
        <v>21</v>
      </c>
      <c r="J20" s="49">
        <f t="shared" si="4"/>
        <v>0</v>
      </c>
      <c r="L20" s="321" t="s">
        <v>430</v>
      </c>
      <c r="P20" s="308">
        <v>0</v>
      </c>
      <c r="Q20" s="308">
        <v>0</v>
      </c>
      <c r="R20" s="308">
        <v>0</v>
      </c>
    </row>
    <row r="21" spans="2:18">
      <c r="D21" s="320"/>
      <c r="E21" s="65">
        <v>1</v>
      </c>
      <c r="F21" s="51"/>
      <c r="G21" s="3" t="s">
        <v>96</v>
      </c>
      <c r="H21" s="66"/>
      <c r="I21" s="3" t="s">
        <v>21</v>
      </c>
      <c r="J21" s="49">
        <f t="shared" si="4"/>
        <v>0</v>
      </c>
      <c r="L21" s="321" t="s">
        <v>430</v>
      </c>
      <c r="P21" s="308">
        <v>0</v>
      </c>
      <c r="Q21" s="308">
        <v>0</v>
      </c>
      <c r="R21" s="308">
        <v>0</v>
      </c>
    </row>
    <row r="22" spans="2:18">
      <c r="B22" s="10" t="s">
        <v>22</v>
      </c>
      <c r="C22" s="17" t="s">
        <v>23</v>
      </c>
      <c r="E22" s="31"/>
      <c r="J22" s="49"/>
      <c r="L22" s="26"/>
    </row>
    <row r="23" spans="2:18">
      <c r="D23" s="52" t="s">
        <v>495</v>
      </c>
      <c r="E23" s="65">
        <v>1</v>
      </c>
      <c r="F23" s="66">
        <v>10</v>
      </c>
      <c r="G23" s="3" t="s">
        <v>116</v>
      </c>
      <c r="H23" s="99">
        <v>22</v>
      </c>
      <c r="I23" s="3" t="s">
        <v>144</v>
      </c>
      <c r="J23" s="49">
        <f t="shared" si="4"/>
        <v>220</v>
      </c>
      <c r="L23" s="26"/>
    </row>
    <row r="24" spans="2:18">
      <c r="D24" s="52" t="s">
        <v>496</v>
      </c>
      <c r="E24" s="65">
        <v>1</v>
      </c>
      <c r="F24" s="66">
        <v>1</v>
      </c>
      <c r="G24" s="3" t="s">
        <v>93</v>
      </c>
      <c r="H24" s="51">
        <v>3200</v>
      </c>
      <c r="I24" s="3" t="s">
        <v>34</v>
      </c>
      <c r="J24" s="49">
        <f t="shared" si="4"/>
        <v>3200</v>
      </c>
      <c r="L24" s="26"/>
    </row>
    <row r="25" spans="2:18">
      <c r="D25" s="52" t="s">
        <v>497</v>
      </c>
      <c r="E25" s="65">
        <v>1</v>
      </c>
      <c r="F25" s="66">
        <v>0.2</v>
      </c>
      <c r="G25" s="3" t="s">
        <v>93</v>
      </c>
      <c r="H25" s="51">
        <v>4850</v>
      </c>
      <c r="I25" s="3" t="s">
        <v>34</v>
      </c>
      <c r="J25" s="49">
        <f t="shared" si="4"/>
        <v>970</v>
      </c>
      <c r="L25" s="26"/>
    </row>
    <row r="26" spans="2:18">
      <c r="D26" s="52" t="s">
        <v>27</v>
      </c>
      <c r="E26" s="65">
        <v>1</v>
      </c>
      <c r="F26" s="66"/>
      <c r="H26" s="51"/>
      <c r="J26" s="49">
        <f t="shared" si="4"/>
        <v>0</v>
      </c>
      <c r="L26" s="26"/>
    </row>
    <row r="27" spans="2:18">
      <c r="D27" s="52" t="s">
        <v>28</v>
      </c>
      <c r="E27" s="65">
        <v>1</v>
      </c>
      <c r="F27" s="66"/>
      <c r="H27" s="51"/>
      <c r="J27" s="49">
        <f t="shared" si="4"/>
        <v>0</v>
      </c>
      <c r="L27" s="26"/>
    </row>
    <row r="28" spans="2:18">
      <c r="D28" s="52" t="s">
        <v>29</v>
      </c>
      <c r="E28" s="65">
        <v>1</v>
      </c>
      <c r="F28" s="66"/>
      <c r="H28" s="51"/>
      <c r="J28" s="49">
        <f t="shared" si="4"/>
        <v>0</v>
      </c>
      <c r="L28" s="26"/>
    </row>
    <row r="29" spans="2:18">
      <c r="B29" s="10" t="s">
        <v>30</v>
      </c>
      <c r="C29" s="3" t="s">
        <v>52</v>
      </c>
      <c r="E29" s="31"/>
      <c r="H29" s="8"/>
      <c r="J29" s="49"/>
      <c r="L29" s="26"/>
    </row>
    <row r="30" spans="2:18">
      <c r="C30" s="11" t="s">
        <v>56</v>
      </c>
      <c r="D30" s="17" t="s">
        <v>56</v>
      </c>
      <c r="E30" s="39">
        <v>1</v>
      </c>
      <c r="F30" s="66">
        <v>15</v>
      </c>
      <c r="G30" s="3" t="s">
        <v>93</v>
      </c>
      <c r="H30" s="51">
        <v>145</v>
      </c>
      <c r="I30" s="3" t="s">
        <v>34</v>
      </c>
      <c r="J30" s="49">
        <f t="shared" si="4"/>
        <v>2175</v>
      </c>
      <c r="L30" s="26" t="s">
        <v>104</v>
      </c>
    </row>
    <row r="31" spans="2:18">
      <c r="B31" s="10" t="s">
        <v>35</v>
      </c>
      <c r="C31" s="3" t="s">
        <v>54</v>
      </c>
      <c r="E31" s="39">
        <v>1</v>
      </c>
      <c r="F31" s="66">
        <v>70</v>
      </c>
      <c r="G31" s="3" t="s">
        <v>93</v>
      </c>
      <c r="H31" s="51">
        <f>Inputi!G11</f>
        <v>145</v>
      </c>
      <c r="I31" s="3" t="s">
        <v>34</v>
      </c>
      <c r="J31" s="49">
        <f t="shared" si="4"/>
        <v>10150</v>
      </c>
      <c r="L31" s="26"/>
    </row>
    <row r="32" spans="2:18">
      <c r="B32" s="10" t="s">
        <v>40</v>
      </c>
      <c r="C32" s="3" t="s">
        <v>55</v>
      </c>
      <c r="E32" s="39">
        <v>1</v>
      </c>
      <c r="F32" s="3">
        <v>1</v>
      </c>
      <c r="G32" s="3" t="s">
        <v>1</v>
      </c>
      <c r="H32" s="8">
        <f>Inputi!$F$43*F31</f>
        <v>4631.666666666667</v>
      </c>
      <c r="I32" s="3" t="s">
        <v>37</v>
      </c>
      <c r="J32" s="49">
        <f t="shared" si="4"/>
        <v>4631.666666666667</v>
      </c>
      <c r="L32" s="26"/>
    </row>
    <row r="33" spans="2:12">
      <c r="B33" s="10" t="s">
        <v>60</v>
      </c>
      <c r="C33" s="3" t="s">
        <v>58</v>
      </c>
      <c r="E33" s="31"/>
      <c r="H33" s="8"/>
      <c r="J33" s="49"/>
      <c r="L33" s="26"/>
    </row>
    <row r="34" spans="2:12">
      <c r="B34" s="10"/>
      <c r="C34" s="67"/>
      <c r="D34" s="68" t="s">
        <v>59</v>
      </c>
      <c r="E34" s="65">
        <v>1</v>
      </c>
      <c r="F34" s="66"/>
      <c r="G34" s="3" t="s">
        <v>1</v>
      </c>
      <c r="H34" s="51"/>
      <c r="I34" s="3" t="s">
        <v>37</v>
      </c>
      <c r="J34" s="49">
        <f t="shared" si="4"/>
        <v>0</v>
      </c>
      <c r="L34" s="26"/>
    </row>
    <row r="35" spans="2:12">
      <c r="B35" s="10"/>
      <c r="C35" s="67"/>
      <c r="D35" s="68" t="s">
        <v>65</v>
      </c>
      <c r="E35" s="65">
        <v>1</v>
      </c>
      <c r="F35" s="66"/>
      <c r="G35" s="3" t="s">
        <v>1</v>
      </c>
      <c r="H35" s="51"/>
      <c r="I35" s="3" t="s">
        <v>37</v>
      </c>
      <c r="J35" s="49">
        <f t="shared" si="4"/>
        <v>0</v>
      </c>
      <c r="L35" s="26"/>
    </row>
    <row r="36" spans="2:12">
      <c r="B36" s="10"/>
      <c r="C36" s="67"/>
      <c r="D36" s="68" t="s">
        <v>38</v>
      </c>
      <c r="E36" s="65">
        <v>1</v>
      </c>
      <c r="F36" s="66">
        <v>1</v>
      </c>
      <c r="G36" s="3" t="s">
        <v>1</v>
      </c>
      <c r="H36" s="51">
        <v>2200</v>
      </c>
      <c r="I36" s="3" t="s">
        <v>37</v>
      </c>
      <c r="J36" s="49">
        <f t="shared" si="4"/>
        <v>2200</v>
      </c>
      <c r="L36" s="26"/>
    </row>
    <row r="37" spans="2:12">
      <c r="B37" s="10"/>
      <c r="C37" s="67"/>
      <c r="D37" s="68" t="s">
        <v>118</v>
      </c>
      <c r="E37" s="65">
        <v>1</v>
      </c>
      <c r="F37" s="66">
        <v>1</v>
      </c>
      <c r="G37" s="3" t="s">
        <v>1</v>
      </c>
      <c r="H37" s="51">
        <v>11000</v>
      </c>
      <c r="I37" s="3" t="s">
        <v>37</v>
      </c>
      <c r="J37" s="49">
        <f t="shared" si="4"/>
        <v>11000</v>
      </c>
      <c r="L37" s="26"/>
    </row>
    <row r="38" spans="2:12">
      <c r="C38" s="67"/>
      <c r="D38" s="68"/>
      <c r="E38" s="65">
        <v>1</v>
      </c>
      <c r="F38" s="66"/>
      <c r="G38" s="3" t="s">
        <v>1</v>
      </c>
      <c r="H38" s="51"/>
      <c r="I38" s="3" t="s">
        <v>37</v>
      </c>
      <c r="J38" s="49">
        <f t="shared" si="4"/>
        <v>0</v>
      </c>
      <c r="L38" s="26"/>
    </row>
    <row r="39" spans="2:12">
      <c r="C39" s="69"/>
      <c r="D39" s="66"/>
      <c r="E39" s="65">
        <v>1</v>
      </c>
      <c r="F39" s="66"/>
      <c r="G39" s="3" t="s">
        <v>1</v>
      </c>
      <c r="H39" s="51"/>
      <c r="I39" s="3" t="s">
        <v>37</v>
      </c>
      <c r="J39" s="49">
        <f t="shared" si="4"/>
        <v>0</v>
      </c>
      <c r="L39" s="26"/>
    </row>
    <row r="40" spans="2:12">
      <c r="B40" s="10" t="s">
        <v>62</v>
      </c>
      <c r="C40" s="3" t="s">
        <v>57</v>
      </c>
      <c r="E40" s="65">
        <v>1</v>
      </c>
      <c r="F40" s="66">
        <v>5</v>
      </c>
      <c r="G40" s="3" t="s">
        <v>100</v>
      </c>
      <c r="H40" s="51">
        <v>150</v>
      </c>
      <c r="I40" s="3" t="s">
        <v>105</v>
      </c>
      <c r="J40" s="49">
        <f t="shared" si="4"/>
        <v>750</v>
      </c>
      <c r="L40" s="26" t="s">
        <v>119</v>
      </c>
    </row>
    <row r="41" spans="2:12">
      <c r="B41" s="10" t="s">
        <v>67</v>
      </c>
      <c r="C41" s="3" t="s">
        <v>271</v>
      </c>
      <c r="E41" s="65"/>
      <c r="H41" s="8"/>
      <c r="J41" s="49"/>
      <c r="L41" s="26"/>
    </row>
    <row r="42" spans="2:12">
      <c r="D42" s="66" t="s">
        <v>94</v>
      </c>
      <c r="E42" s="65">
        <v>1</v>
      </c>
      <c r="F42" s="51"/>
      <c r="G42" s="3" t="s">
        <v>96</v>
      </c>
      <c r="H42" s="99"/>
      <c r="I42" s="3" t="s">
        <v>21</v>
      </c>
      <c r="J42" s="49">
        <f t="shared" si="4"/>
        <v>0</v>
      </c>
      <c r="L42" s="26"/>
    </row>
    <row r="43" spans="2:12">
      <c r="D43" s="66" t="s">
        <v>95</v>
      </c>
      <c r="E43" s="65">
        <v>1</v>
      </c>
      <c r="F43" s="51">
        <v>5000</v>
      </c>
      <c r="G43" s="3" t="s">
        <v>96</v>
      </c>
      <c r="H43" s="99">
        <v>0.3</v>
      </c>
      <c r="I43" s="3" t="s">
        <v>21</v>
      </c>
      <c r="J43" s="49">
        <f t="shared" si="4"/>
        <v>1500</v>
      </c>
      <c r="L43" s="26"/>
    </row>
    <row r="44" spans="2:12" ht="15" thickBot="1">
      <c r="B44" s="3" t="s">
        <v>68</v>
      </c>
      <c r="C44" s="67" t="s">
        <v>374</v>
      </c>
      <c r="D44" s="4"/>
      <c r="E44" s="65">
        <v>1</v>
      </c>
      <c r="F44" s="209">
        <v>1</v>
      </c>
      <c r="G44" s="4" t="s">
        <v>1</v>
      </c>
      <c r="H44" s="51">
        <v>1700</v>
      </c>
      <c r="I44" s="3" t="s">
        <v>37</v>
      </c>
      <c r="J44" s="49">
        <f t="shared" si="4"/>
        <v>1700</v>
      </c>
      <c r="L44" s="26"/>
    </row>
    <row r="45" spans="2:12" ht="15.75" thickBot="1">
      <c r="B45" s="41"/>
      <c r="C45" s="42" t="s">
        <v>101</v>
      </c>
      <c r="D45" s="43"/>
      <c r="E45" s="43"/>
      <c r="F45" s="44"/>
      <c r="G45" s="45"/>
      <c r="H45" s="44"/>
      <c r="I45" s="45"/>
      <c r="J45" s="46">
        <f>SUM(J12:J44)</f>
        <v>71746.666666666657</v>
      </c>
      <c r="L45" s="26"/>
    </row>
    <row r="46" spans="2:12" ht="15.75" thickBot="1">
      <c r="B46" s="70" t="s">
        <v>103</v>
      </c>
      <c r="C46" s="71" t="s">
        <v>102</v>
      </c>
      <c r="D46" s="71"/>
      <c r="E46" s="72"/>
      <c r="F46" s="72"/>
      <c r="G46" s="72"/>
      <c r="H46" s="73"/>
      <c r="I46" s="72"/>
      <c r="J46" s="28">
        <f>J10-J45</f>
        <v>43753.333333333343</v>
      </c>
      <c r="L46" s="26"/>
    </row>
    <row r="47" spans="2:12" ht="16.5" thickTop="1" thickBot="1">
      <c r="B47" s="70" t="s">
        <v>403</v>
      </c>
      <c r="C47" s="71" t="s">
        <v>418</v>
      </c>
      <c r="D47" s="71"/>
      <c r="E47" s="72"/>
      <c r="F47" s="72"/>
      <c r="G47" s="72"/>
      <c r="H47" s="73"/>
      <c r="I47" s="72"/>
      <c r="J47" s="28">
        <f>J10-J45+IF(J9&gt;100,CO224,IF(J9&lt;100,CD224,"0"))</f>
        <v>44988.379253065781</v>
      </c>
      <c r="L47" s="64"/>
    </row>
    <row r="48" spans="2:12" ht="15" thickTop="1"/>
    <row r="49" spans="2:8" ht="15.75" thickBot="1">
      <c r="C49" s="89" t="s">
        <v>444</v>
      </c>
      <c r="D49" s="90"/>
      <c r="E49" s="90"/>
      <c r="F49" s="90"/>
      <c r="G49" s="90"/>
      <c r="H49" s="90"/>
    </row>
    <row r="50" spans="2:8" ht="15" thickBot="1"/>
    <row r="51" spans="2:8" ht="15.75" thickTop="1">
      <c r="C51" s="74" t="s">
        <v>7</v>
      </c>
      <c r="D51" s="75"/>
      <c r="E51" s="75"/>
      <c r="F51" s="76" t="s">
        <v>107</v>
      </c>
    </row>
    <row r="52" spans="2:8">
      <c r="C52" s="53" t="s">
        <v>182</v>
      </c>
      <c r="F52" s="8">
        <f>J8</f>
        <v>115500</v>
      </c>
    </row>
    <row r="53" spans="2:8" ht="15" thickBot="1">
      <c r="C53" s="54" t="s">
        <v>115</v>
      </c>
      <c r="F53" s="8">
        <f>J9</f>
        <v>0</v>
      </c>
    </row>
    <row r="54" spans="2:8" ht="15.75" thickBot="1">
      <c r="B54" s="55"/>
      <c r="C54" s="42" t="s">
        <v>46</v>
      </c>
      <c r="D54" s="43"/>
      <c r="E54" s="43"/>
      <c r="F54" s="56">
        <f>J10</f>
        <v>115500</v>
      </c>
    </row>
    <row r="55" spans="2:8" ht="15">
      <c r="B55" s="55"/>
      <c r="C55" s="29" t="s">
        <v>14</v>
      </c>
      <c r="F55" s="8"/>
    </row>
    <row r="56" spans="2:8">
      <c r="C56" s="54" t="s">
        <v>15</v>
      </c>
      <c r="F56" s="8">
        <f>J12</f>
        <v>10000</v>
      </c>
    </row>
    <row r="57" spans="2:8">
      <c r="C57" s="54" t="s">
        <v>106</v>
      </c>
      <c r="F57" s="8">
        <f>SUM(J14:J21)</f>
        <v>23250</v>
      </c>
    </row>
    <row r="58" spans="2:8">
      <c r="C58" s="54" t="s">
        <v>23</v>
      </c>
      <c r="F58" s="8">
        <f>SUM(J23:J28)</f>
        <v>4390</v>
      </c>
    </row>
    <row r="59" spans="2:8">
      <c r="C59" s="54" t="s">
        <v>52</v>
      </c>
      <c r="F59" s="8">
        <f>J30</f>
        <v>2175</v>
      </c>
    </row>
    <row r="60" spans="2:8">
      <c r="C60" s="54" t="s">
        <v>54</v>
      </c>
      <c r="F60" s="8">
        <f>J31</f>
        <v>10150</v>
      </c>
    </row>
    <row r="61" spans="2:8">
      <c r="C61" s="54" t="s">
        <v>55</v>
      </c>
      <c r="F61" s="8">
        <f>J32</f>
        <v>4631.666666666667</v>
      </c>
    </row>
    <row r="62" spans="2:8">
      <c r="C62" s="54" t="s">
        <v>58</v>
      </c>
      <c r="F62" s="8">
        <f>SUM(J34:J39)</f>
        <v>13200</v>
      </c>
    </row>
    <row r="63" spans="2:8">
      <c r="C63" s="54" t="s">
        <v>53</v>
      </c>
      <c r="F63" s="8">
        <f>J40</f>
        <v>750</v>
      </c>
    </row>
    <row r="64" spans="2:8">
      <c r="C64" s="54" t="s">
        <v>271</v>
      </c>
      <c r="F64" s="8">
        <f>SUM(J42:J43)</f>
        <v>1500</v>
      </c>
    </row>
    <row r="65" spans="3:6" ht="15" thickBot="1">
      <c r="C65" s="199" t="s">
        <v>374</v>
      </c>
      <c r="F65" s="8">
        <f>J44</f>
        <v>1700</v>
      </c>
    </row>
    <row r="66" spans="3:6" ht="15.75" thickBot="1">
      <c r="C66" s="42" t="s">
        <v>101</v>
      </c>
      <c r="D66" s="43"/>
      <c r="E66" s="43"/>
      <c r="F66" s="56">
        <f>SUM(F56:F65)</f>
        <v>71746.666666666657</v>
      </c>
    </row>
    <row r="67" spans="3:6" ht="15.75" thickBot="1">
      <c r="C67" s="71" t="s">
        <v>42</v>
      </c>
      <c r="D67" s="72"/>
      <c r="E67" s="72"/>
      <c r="F67" s="77">
        <f>F54-F66</f>
        <v>43753.333333333343</v>
      </c>
    </row>
    <row r="68" spans="3:6" ht="15.75" thickTop="1">
      <c r="C68" s="96"/>
      <c r="D68" s="97"/>
      <c r="E68" s="97"/>
      <c r="F68" s="63"/>
    </row>
    <row r="93" spans="4:10" ht="15.75" thickBot="1">
      <c r="D93" s="89" t="s">
        <v>445</v>
      </c>
      <c r="E93" s="90"/>
      <c r="F93" s="90"/>
      <c r="G93" s="90"/>
      <c r="H93" s="90"/>
      <c r="I93" s="90"/>
      <c r="J93" s="90"/>
    </row>
    <row r="95" spans="4:10" ht="15.75" thickBot="1">
      <c r="D95" s="12"/>
      <c r="E95" s="13"/>
      <c r="F95" s="14"/>
      <c r="G95" s="57"/>
      <c r="H95" s="57" t="s">
        <v>160</v>
      </c>
      <c r="I95" s="57"/>
      <c r="J95" s="79"/>
    </row>
    <row r="96" spans="4:10">
      <c r="D96" s="15"/>
      <c r="E96" s="16"/>
      <c r="F96" s="154">
        <v>-0.2</v>
      </c>
      <c r="G96" s="154">
        <v>-0.1</v>
      </c>
      <c r="H96" s="59" t="s">
        <v>110</v>
      </c>
      <c r="I96" s="154">
        <v>0.1</v>
      </c>
      <c r="J96" s="155">
        <v>0.2</v>
      </c>
    </row>
    <row r="97" spans="4:10" ht="15.75" thickBot="1">
      <c r="D97" s="60" t="s">
        <v>109</v>
      </c>
      <c r="E97" s="61"/>
      <c r="F97" s="92">
        <f>H97*(1+F96)</f>
        <v>13.200000000000001</v>
      </c>
      <c r="G97" s="92">
        <f>H97*(1+G96)</f>
        <v>14.85</v>
      </c>
      <c r="H97" s="92">
        <f>H8</f>
        <v>16.5</v>
      </c>
      <c r="I97" s="93">
        <f>$H$97*(1+I96)</f>
        <v>18.150000000000002</v>
      </c>
      <c r="J97" s="94">
        <f>$H$97*(1+J96)</f>
        <v>19.8</v>
      </c>
    </row>
    <row r="98" spans="4:10" ht="15">
      <c r="D98" s="152">
        <v>-0.2</v>
      </c>
      <c r="E98" s="62">
        <f>$E$100*(1+D98)</f>
        <v>5600</v>
      </c>
      <c r="F98" s="88">
        <f>$H$98-$E$98*($H$97-F97)</f>
        <v>3408.3792530657884</v>
      </c>
      <c r="G98" s="88">
        <f>$H$98-$E$98*($H$97-G97)</f>
        <v>12648.379253065779</v>
      </c>
      <c r="H98" s="88">
        <f>$H$100-($E$100-E98)*$H$97</f>
        <v>21888.379253065781</v>
      </c>
      <c r="I98" s="84">
        <f>$H$98+$E$98*(I97-$H$97)</f>
        <v>31128.379253065796</v>
      </c>
      <c r="J98" s="85">
        <f>$H$98+$E$98*(J97-$H$97)</f>
        <v>40368.379253065781</v>
      </c>
    </row>
    <row r="99" spans="4:10" ht="15">
      <c r="D99" s="152">
        <v>-0.1</v>
      </c>
      <c r="E99" s="62">
        <f>$E$100*(1+D99)</f>
        <v>6300</v>
      </c>
      <c r="F99" s="88">
        <f>$H$99-$E$99*($H$97-F97)</f>
        <v>12648.379253065788</v>
      </c>
      <c r="G99" s="88">
        <f>$H$99-$E$99*($H$97-G97)</f>
        <v>23043.379253065781</v>
      </c>
      <c r="H99" s="88">
        <f>$H$100-($E$100-E99)*$H$97</f>
        <v>33438.379253065781</v>
      </c>
      <c r="I99" s="88">
        <f>$H$99+$E$99*(I97-$H$97)</f>
        <v>43833.379253065796</v>
      </c>
      <c r="J99" s="91">
        <f>$H$99+$E$99*(J97-$H$97)</f>
        <v>54228.379253065781</v>
      </c>
    </row>
    <row r="100" spans="4:10" ht="15">
      <c r="D100" s="18" t="s">
        <v>43</v>
      </c>
      <c r="E100" s="62">
        <f>F8</f>
        <v>7000</v>
      </c>
      <c r="F100" s="88">
        <f>$H$100-$E$100*($H$97-F97)</f>
        <v>21888.379253065788</v>
      </c>
      <c r="G100" s="88">
        <f>$H$100-$E$100*($H$97-G97)</f>
        <v>33438.379253065781</v>
      </c>
      <c r="H100" s="63">
        <f>J47</f>
        <v>44988.379253065781</v>
      </c>
      <c r="I100" s="84">
        <f>$H$100+$E$100*(I97-$H$97)</f>
        <v>56538.379253065796</v>
      </c>
      <c r="J100" s="85">
        <f>$H$100+$E$100*(J97-$H$97)</f>
        <v>68088.379253065781</v>
      </c>
    </row>
    <row r="101" spans="4:10" ht="15">
      <c r="D101" s="152">
        <v>0.1</v>
      </c>
      <c r="E101" s="78">
        <f>$E$100*(1+D101)</f>
        <v>7700.0000000000009</v>
      </c>
      <c r="F101" s="84">
        <f>$H$101-$E$101*($H$97-F97)</f>
        <v>31128.379253065799</v>
      </c>
      <c r="G101" s="84">
        <f>$H$101-$E$101*($H$97-G97)</f>
        <v>43833.379253065796</v>
      </c>
      <c r="H101" s="88">
        <f>$H$100-($E$100-E101)*$H$97</f>
        <v>56538.379253065796</v>
      </c>
      <c r="I101" s="84">
        <f>$H$101+$E$101*(I97-$H$97)</f>
        <v>69243.37925306581</v>
      </c>
      <c r="J101" s="85">
        <f>$H$101+$E$101*(J97-$H$97)</f>
        <v>81948.379253065796</v>
      </c>
    </row>
    <row r="102" spans="4:10" ht="15">
      <c r="D102" s="153">
        <v>0.2</v>
      </c>
      <c r="E102" s="80">
        <f>$E$100*(1+D102)</f>
        <v>8400</v>
      </c>
      <c r="F102" s="86">
        <f>$H$102-$E$102*($H$97-F97)</f>
        <v>40368.379253065788</v>
      </c>
      <c r="G102" s="86">
        <f>$H$102-$E$102*($H$97-G97)</f>
        <v>54228.379253065781</v>
      </c>
      <c r="H102" s="95">
        <f>$H$100-($E$100-E102)*$H$97</f>
        <v>68088.379253065781</v>
      </c>
      <c r="I102" s="86">
        <f>$H$102+$E$102*(I97-$H$97)</f>
        <v>81948.379253065796</v>
      </c>
      <c r="J102" s="87">
        <f>$H$102+$E$102*(J97-$H$97)</f>
        <v>95808.379253065796</v>
      </c>
    </row>
    <row r="203" spans="81:107" ht="15.75">
      <c r="CC203" s="269" t="s">
        <v>375</v>
      </c>
      <c r="CD203" s="270"/>
      <c r="CE203" s="270"/>
      <c r="CF203" s="270"/>
      <c r="CG203" s="270"/>
      <c r="CH203" s="270"/>
      <c r="CI203" s="270"/>
      <c r="CJ203" s="270"/>
      <c r="CK203" s="270"/>
      <c r="CL203"/>
      <c r="CM203"/>
      <c r="CN203" s="271" t="s">
        <v>414</v>
      </c>
      <c r="CO203" s="272"/>
      <c r="CP203" s="272"/>
      <c r="CQ203" s="272"/>
      <c r="CR203" s="272"/>
      <c r="CS203" s="272"/>
      <c r="CT203" s="272"/>
      <c r="CU203" s="272"/>
      <c r="CV203" s="272"/>
      <c r="CZ203" s="298" t="s">
        <v>408</v>
      </c>
      <c r="DA203" s="300">
        <v>0.15</v>
      </c>
      <c r="DB203" s="300">
        <v>0.15</v>
      </c>
      <c r="DC203" s="300">
        <v>0.15</v>
      </c>
    </row>
    <row r="204" spans="81:107" ht="15.75">
      <c r="CC204" s="273" t="s">
        <v>376</v>
      </c>
      <c r="CD204" s="273" t="s">
        <v>377</v>
      </c>
      <c r="CE204" s="273" t="s">
        <v>378</v>
      </c>
      <c r="CF204" s="274" t="s">
        <v>379</v>
      </c>
      <c r="CG204" s="274"/>
      <c r="CH204" s="274"/>
      <c r="CI204" s="274" t="s">
        <v>380</v>
      </c>
      <c r="CJ204" s="274"/>
      <c r="CK204" s="275"/>
      <c r="CL204"/>
      <c r="CM204"/>
      <c r="CN204" s="273" t="s">
        <v>376</v>
      </c>
      <c r="CO204" s="273" t="s">
        <v>377</v>
      </c>
      <c r="CP204" s="273" t="s">
        <v>378</v>
      </c>
      <c r="CQ204" s="274" t="s">
        <v>379</v>
      </c>
      <c r="CR204" s="274"/>
      <c r="CS204" s="274"/>
      <c r="CT204" s="274" t="s">
        <v>380</v>
      </c>
      <c r="CU204" s="274"/>
      <c r="CV204" s="275"/>
      <c r="CZ204" s="298" t="s">
        <v>399</v>
      </c>
      <c r="DA204" s="300">
        <v>0.16</v>
      </c>
      <c r="DB204" s="300">
        <v>0.16</v>
      </c>
      <c r="DC204" s="300">
        <v>0.16</v>
      </c>
    </row>
    <row r="205" spans="81:107" ht="18">
      <c r="CC205"/>
      <c r="CD205"/>
      <c r="CE205"/>
      <c r="CF205" s="276" t="s">
        <v>381</v>
      </c>
      <c r="CG205" s="276" t="s">
        <v>382</v>
      </c>
      <c r="CH205" s="276" t="s">
        <v>383</v>
      </c>
      <c r="CI205" s="276" t="s">
        <v>381</v>
      </c>
      <c r="CJ205" s="276" t="s">
        <v>382</v>
      </c>
      <c r="CK205" s="276" t="s">
        <v>383</v>
      </c>
      <c r="CL205"/>
      <c r="CM205"/>
      <c r="CN205"/>
      <c r="CO205"/>
      <c r="CP205"/>
      <c r="CQ205" s="276" t="s">
        <v>381</v>
      </c>
      <c r="CR205" s="276" t="s">
        <v>382</v>
      </c>
      <c r="CS205" s="276" t="s">
        <v>383</v>
      </c>
      <c r="CT205" s="276" t="s">
        <v>381</v>
      </c>
      <c r="CU205" s="276" t="s">
        <v>382</v>
      </c>
      <c r="CV205" s="276" t="s">
        <v>383</v>
      </c>
      <c r="CZ205" s="298" t="s">
        <v>407</v>
      </c>
      <c r="DA205" s="300">
        <v>0.06</v>
      </c>
      <c r="DB205" s="300">
        <v>0.12</v>
      </c>
      <c r="DC205" s="300">
        <v>0.24</v>
      </c>
    </row>
    <row r="206" spans="81:107">
      <c r="CC206" t="str">
        <f>+D15</f>
        <v>NPK 15:15:15</v>
      </c>
      <c r="CD206" s="21">
        <f>+F15</f>
        <v>0</v>
      </c>
      <c r="CE206" t="s">
        <v>20</v>
      </c>
      <c r="CF206" s="304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G206" s="304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H206" s="304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I206">
        <f>$CD206*CF206</f>
        <v>0</v>
      </c>
      <c r="CJ206">
        <f t="shared" ref="CJ206:CK212" si="5">$CD206*CG206</f>
        <v>0</v>
      </c>
      <c r="CK206">
        <f t="shared" si="5"/>
        <v>0</v>
      </c>
      <c r="CL206"/>
      <c r="CM206"/>
      <c r="CN206" s="1" t="str">
        <f>D15</f>
        <v>NPK 15:15:15</v>
      </c>
      <c r="CO206" s="21">
        <f>+F15</f>
        <v>0</v>
      </c>
      <c r="CP206" t="s">
        <v>20</v>
      </c>
      <c r="CQ206" s="304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R206" s="304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S206" s="304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T206">
        <f>CO206*CQ206</f>
        <v>0</v>
      </c>
      <c r="CU206">
        <f>CO206*CR206</f>
        <v>0</v>
      </c>
      <c r="CV206">
        <f>CO206*CS206</f>
        <v>0</v>
      </c>
      <c r="CZ206" s="299" t="s">
        <v>412</v>
      </c>
      <c r="DA206" s="301">
        <v>0.11</v>
      </c>
      <c r="DB206" s="301">
        <v>0.52</v>
      </c>
      <c r="DC206" s="301">
        <v>0</v>
      </c>
    </row>
    <row r="207" spans="81:107">
      <c r="CC207" t="str">
        <f t="shared" ref="CC207:CC212" si="6">+D16</f>
        <v>MAP 11:52:0</v>
      </c>
      <c r="CD207" s="21">
        <f t="shared" ref="CD207:CD212" si="7">+F16</f>
        <v>100</v>
      </c>
      <c r="CE207" t="s">
        <v>20</v>
      </c>
      <c r="CF207" s="304">
        <f t="shared" ref="CF207:CF210" si="8">IF($CC207=$CZ$203,$DA$203,IF($CC207=$CZ$204,$DA$204,IF($CC207=$CZ$205,$DA$205,IF($CC207=CZ$206,$DA$206, IF($CC207=CZ$207,$DA$207,IF($CC207=$CZ$208,$DA$208,IF($CC207=$CZ$209,$DA$209,IF($CC207=$CZ$210,$DA$210,"0%"))))))))</f>
        <v>0.11</v>
      </c>
      <c r="CG207" s="304">
        <f t="shared" ref="CG207:CG210" si="9">IF($CC207=$CZ$203,$DB$203,IF($CC207=$CZ$204,$DB$204,IF($CC207=$CZ$205,$DB$205,IF($CC207=$CZ$206,$DB$206, IF($CC207=$CZ$207,$DB$207,IF($CC207=$CZ$208,$DB$208,IF($CC207=$CZ$209,$DB$209,IF($CC207=$CZ$210,$DB$210,"0%"))))))))</f>
        <v>0.52</v>
      </c>
      <c r="CH207" s="304">
        <f t="shared" ref="CH207:CH210" si="10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11</v>
      </c>
      <c r="CJ207">
        <f t="shared" si="5"/>
        <v>52</v>
      </c>
      <c r="CK207">
        <f t="shared" si="5"/>
        <v>0</v>
      </c>
      <c r="CL207"/>
      <c r="CM207"/>
      <c r="CN207" s="1" t="str">
        <f t="shared" ref="CN207:CN212" si="11">D16</f>
        <v>MAP 11:52:0</v>
      </c>
      <c r="CO207" s="21">
        <f t="shared" ref="CO207:CO212" si="12">+F16</f>
        <v>100</v>
      </c>
      <c r="CP207" t="s">
        <v>20</v>
      </c>
      <c r="CQ207" s="304">
        <f t="shared" ref="CQ207:CQ210" si="13">IF($CC207=$CZ$203,$DA$203,IF($CC207=$CZ$204,$DA$204,IF($CC207=$CZ$205,$DA$205,IF($CC207=$CZ$206,$DA$206, IF($CC207=$CZ$207,$DA$207,IF($CC207=$CZ$208,$DA$208,IF($CC207=$CZ$209,$DA$209,IF($CC207=$CZ$210,$DA$210,"0%"))))))))</f>
        <v>0.11</v>
      </c>
      <c r="CR207" s="304">
        <f t="shared" ref="CR207:CR210" si="14">IF($CC207=$CZ$203,$DB$203,IF($CC207=$CZ$204,$DB$204,IF($CC207=$CZ$205,$DB$205,IF($CC207=$CZ$206,$DB$206, IF($CC207=$CZ$207,$DB$207,IF($CC207=$CZ$208,$DB$208,IF($CC207=$CZ$209,$DB$209,IF($CC207=$CZ$210,$DB$210,"0%"))))))))</f>
        <v>0.52</v>
      </c>
      <c r="CS207" s="304">
        <f t="shared" ref="CS207:CS210" si="15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6">CO207*CQ207</f>
        <v>11</v>
      </c>
      <c r="CU207">
        <f t="shared" ref="CU207:CU212" si="17">CO207*CR207</f>
        <v>52</v>
      </c>
      <c r="CV207">
        <f t="shared" ref="CV207:CV212" si="18">CO207*CS207</f>
        <v>0</v>
      </c>
      <c r="CZ207" s="299" t="s">
        <v>413</v>
      </c>
      <c r="DA207" s="301">
        <v>0.12</v>
      </c>
      <c r="DB207" s="301">
        <v>0.52</v>
      </c>
      <c r="DC207" s="301">
        <v>0</v>
      </c>
    </row>
    <row r="208" spans="81:107">
      <c r="CC208" t="str">
        <f t="shared" si="6"/>
        <v>AN 33,5:0:0</v>
      </c>
      <c r="CD208" s="21">
        <f t="shared" si="7"/>
        <v>100</v>
      </c>
      <c r="CE208" t="s">
        <v>20</v>
      </c>
      <c r="CF208" s="304">
        <f t="shared" si="8"/>
        <v>0.33500000000000002</v>
      </c>
      <c r="CG208" s="304">
        <f t="shared" si="9"/>
        <v>0</v>
      </c>
      <c r="CH208" s="304">
        <f t="shared" si="10"/>
        <v>0</v>
      </c>
      <c r="CI208">
        <f t="shared" ref="CI208:CI212" si="19">$CD208*CF208</f>
        <v>33.5</v>
      </c>
      <c r="CJ208">
        <f t="shared" si="5"/>
        <v>0</v>
      </c>
      <c r="CK208">
        <f t="shared" si="5"/>
        <v>0</v>
      </c>
      <c r="CL208"/>
      <c r="CM208"/>
      <c r="CN208" s="1" t="str">
        <f t="shared" si="11"/>
        <v>AN 33,5:0:0</v>
      </c>
      <c r="CO208" s="21">
        <f t="shared" si="12"/>
        <v>100</v>
      </c>
      <c r="CP208" t="s">
        <v>20</v>
      </c>
      <c r="CQ208" s="304">
        <f t="shared" si="13"/>
        <v>0.33500000000000002</v>
      </c>
      <c r="CR208" s="304">
        <f t="shared" si="14"/>
        <v>0</v>
      </c>
      <c r="CS208" s="304">
        <f t="shared" si="15"/>
        <v>0</v>
      </c>
      <c r="CT208">
        <f t="shared" si="16"/>
        <v>33.5</v>
      </c>
      <c r="CU208">
        <f t="shared" si="17"/>
        <v>0</v>
      </c>
      <c r="CV208">
        <f t="shared" si="18"/>
        <v>0</v>
      </c>
      <c r="CZ208" s="298" t="s">
        <v>409</v>
      </c>
      <c r="DA208" s="301">
        <v>0.46</v>
      </c>
      <c r="DB208" s="301">
        <v>0</v>
      </c>
      <c r="DC208" s="301">
        <v>0</v>
      </c>
    </row>
    <row r="209" spans="81:107">
      <c r="CC209">
        <f t="shared" si="6"/>
        <v>0</v>
      </c>
      <c r="CD209" s="21">
        <f t="shared" si="7"/>
        <v>0</v>
      </c>
      <c r="CE209" t="s">
        <v>20</v>
      </c>
      <c r="CF209" s="304" t="str">
        <f t="shared" si="8"/>
        <v>0%</v>
      </c>
      <c r="CG209" s="304" t="str">
        <f t="shared" si="9"/>
        <v>0%</v>
      </c>
      <c r="CH209" s="304" t="str">
        <f t="shared" si="10"/>
        <v>0%</v>
      </c>
      <c r="CI209">
        <f t="shared" si="19"/>
        <v>0</v>
      </c>
      <c r="CJ209">
        <f t="shared" si="5"/>
        <v>0</v>
      </c>
      <c r="CK209">
        <f t="shared" si="5"/>
        <v>0</v>
      </c>
      <c r="CL209"/>
      <c r="CM209"/>
      <c r="CN209" s="1">
        <f t="shared" si="11"/>
        <v>0</v>
      </c>
      <c r="CO209" s="21">
        <f t="shared" si="12"/>
        <v>0</v>
      </c>
      <c r="CP209" t="s">
        <v>20</v>
      </c>
      <c r="CQ209" s="304" t="str">
        <f t="shared" si="13"/>
        <v>0%</v>
      </c>
      <c r="CR209" s="304" t="str">
        <f t="shared" si="14"/>
        <v>0%</v>
      </c>
      <c r="CS209" s="304" t="str">
        <f t="shared" si="15"/>
        <v>0%</v>
      </c>
      <c r="CT209">
        <f t="shared" si="16"/>
        <v>0</v>
      </c>
      <c r="CU209">
        <f t="shared" si="17"/>
        <v>0</v>
      </c>
      <c r="CV209">
        <f t="shared" si="18"/>
        <v>0</v>
      </c>
      <c r="CZ209" s="298" t="s">
        <v>410</v>
      </c>
      <c r="DA209" s="301">
        <v>0.27</v>
      </c>
      <c r="DB209" s="301">
        <v>0</v>
      </c>
      <c r="DC209" s="301">
        <v>0</v>
      </c>
    </row>
    <row r="210" spans="81:107">
      <c r="CC210">
        <f t="shared" si="6"/>
        <v>0</v>
      </c>
      <c r="CD210" s="21">
        <f t="shared" si="7"/>
        <v>0</v>
      </c>
      <c r="CE210" t="s">
        <v>20</v>
      </c>
      <c r="CF210" s="304" t="str">
        <f t="shared" si="8"/>
        <v>0%</v>
      </c>
      <c r="CG210" s="304" t="str">
        <f t="shared" si="9"/>
        <v>0%</v>
      </c>
      <c r="CH210" s="304" t="str">
        <f t="shared" si="10"/>
        <v>0%</v>
      </c>
      <c r="CI210">
        <f t="shared" si="19"/>
        <v>0</v>
      </c>
      <c r="CJ210">
        <f t="shared" si="5"/>
        <v>0</v>
      </c>
      <c r="CK210">
        <f t="shared" si="5"/>
        <v>0</v>
      </c>
      <c r="CL210"/>
      <c r="CM210"/>
      <c r="CN210" s="1">
        <f t="shared" si="11"/>
        <v>0</v>
      </c>
      <c r="CO210" s="21">
        <f t="shared" si="12"/>
        <v>0</v>
      </c>
      <c r="CP210" t="s">
        <v>20</v>
      </c>
      <c r="CQ210" s="304" t="str">
        <f t="shared" si="13"/>
        <v>0%</v>
      </c>
      <c r="CR210" s="304" t="str">
        <f t="shared" si="14"/>
        <v>0%</v>
      </c>
      <c r="CS210" s="304" t="str">
        <f t="shared" si="15"/>
        <v>0%</v>
      </c>
      <c r="CT210">
        <f t="shared" si="16"/>
        <v>0</v>
      </c>
      <c r="CU210">
        <f t="shared" si="17"/>
        <v>0</v>
      </c>
      <c r="CV210">
        <f t="shared" si="18"/>
        <v>0</v>
      </c>
      <c r="CZ210" s="299" t="s">
        <v>411</v>
      </c>
      <c r="DA210" s="302">
        <v>0.33500000000000002</v>
      </c>
      <c r="DB210" s="301">
        <v>0</v>
      </c>
      <c r="DC210" s="301">
        <v>0</v>
      </c>
    </row>
    <row r="211" spans="81:107">
      <c r="CC211">
        <f t="shared" si="6"/>
        <v>0</v>
      </c>
      <c r="CD211" s="21">
        <f t="shared" si="7"/>
        <v>0</v>
      </c>
      <c r="CE211" t="s">
        <v>20</v>
      </c>
      <c r="CF211" s="304">
        <f t="shared" ref="CF211:CH212" si="20">+P20</f>
        <v>0</v>
      </c>
      <c r="CG211" s="304">
        <f t="shared" si="20"/>
        <v>0</v>
      </c>
      <c r="CH211" s="304">
        <f t="shared" si="20"/>
        <v>0</v>
      </c>
      <c r="CI211">
        <f t="shared" si="19"/>
        <v>0</v>
      </c>
      <c r="CJ211">
        <f t="shared" si="5"/>
        <v>0</v>
      </c>
      <c r="CK211">
        <f t="shared" si="5"/>
        <v>0</v>
      </c>
      <c r="CL211"/>
      <c r="CM211"/>
      <c r="CN211" s="1">
        <f t="shared" si="11"/>
        <v>0</v>
      </c>
      <c r="CO211" s="21">
        <f t="shared" si="12"/>
        <v>0</v>
      </c>
      <c r="CP211" t="s">
        <v>20</v>
      </c>
      <c r="CQ211" s="278">
        <f t="shared" ref="CQ211:CS212" si="21">+P20</f>
        <v>0</v>
      </c>
      <c r="CR211" s="278">
        <f t="shared" si="21"/>
        <v>0</v>
      </c>
      <c r="CS211" s="278">
        <f t="shared" si="21"/>
        <v>0</v>
      </c>
      <c r="CT211">
        <f t="shared" si="16"/>
        <v>0</v>
      </c>
      <c r="CU211">
        <f t="shared" si="17"/>
        <v>0</v>
      </c>
      <c r="CV211">
        <f t="shared" si="18"/>
        <v>0</v>
      </c>
    </row>
    <row r="212" spans="81:107">
      <c r="CC212">
        <f t="shared" si="6"/>
        <v>0</v>
      </c>
      <c r="CD212" s="21">
        <f t="shared" si="7"/>
        <v>0</v>
      </c>
      <c r="CE212" t="s">
        <v>20</v>
      </c>
      <c r="CF212" s="304">
        <f t="shared" si="20"/>
        <v>0</v>
      </c>
      <c r="CG212" s="304">
        <f t="shared" si="20"/>
        <v>0</v>
      </c>
      <c r="CH212" s="304">
        <f t="shared" si="20"/>
        <v>0</v>
      </c>
      <c r="CI212">
        <f t="shared" si="19"/>
        <v>0</v>
      </c>
      <c r="CJ212">
        <f t="shared" si="5"/>
        <v>0</v>
      </c>
      <c r="CK212">
        <f t="shared" si="5"/>
        <v>0</v>
      </c>
      <c r="CL212"/>
      <c r="CM212"/>
      <c r="CN212" s="1">
        <f t="shared" si="11"/>
        <v>0</v>
      </c>
      <c r="CO212" s="21">
        <f t="shared" si="12"/>
        <v>0</v>
      </c>
      <c r="CP212" t="s">
        <v>20</v>
      </c>
      <c r="CQ212" s="278">
        <f t="shared" si="21"/>
        <v>0</v>
      </c>
      <c r="CR212" s="278">
        <f t="shared" si="21"/>
        <v>0</v>
      </c>
      <c r="CS212" s="278">
        <f t="shared" si="21"/>
        <v>0</v>
      </c>
      <c r="CT212">
        <f t="shared" si="16"/>
        <v>0</v>
      </c>
      <c r="CU212">
        <f t="shared" si="17"/>
        <v>0</v>
      </c>
      <c r="CV212">
        <f t="shared" si="18"/>
        <v>0</v>
      </c>
    </row>
    <row r="213" spans="81:107">
      <c r="CC213" t="s">
        <v>384</v>
      </c>
      <c r="CD213" s="21">
        <f>+F14/1000</f>
        <v>20</v>
      </c>
      <c r="CE213" t="s">
        <v>2</v>
      </c>
      <c r="CF213" s="310">
        <v>6.4999999999999997E-3</v>
      </c>
      <c r="CG213" s="279">
        <v>3.0000000000000001E-3</v>
      </c>
      <c r="CH213" s="279">
        <v>6.0000000000000001E-3</v>
      </c>
      <c r="CI213">
        <f>CD213*CF213*1000*IF(CD214=1,50%,IF(CD214=2,30%,IF(CD214=3,20%,IF(CD214&gt;3,0))))</f>
        <v>65</v>
      </c>
      <c r="CJ213">
        <f>CD213*CG213*1000*IF(CD214=1,50%,IF(CD214=2,30%,IF(CD214=3,20%,IF(CD214&gt;3,0))))</f>
        <v>30</v>
      </c>
      <c r="CK213">
        <f>CD213*CH213*1000*IF(CD214=1,50%,IF(CD214=2,30%,IF(CD214=3,20%,IF(CD214&gt;3,0))))</f>
        <v>60</v>
      </c>
      <c r="CL213"/>
      <c r="CM213"/>
      <c r="CN213" t="s">
        <v>384</v>
      </c>
      <c r="CO213" s="21">
        <f>+F14/1000</f>
        <v>20</v>
      </c>
      <c r="CP213" t="s">
        <v>2</v>
      </c>
      <c r="CQ213" s="310">
        <v>6.4999999999999997E-3</v>
      </c>
      <c r="CR213" s="279">
        <v>3.0000000000000001E-3</v>
      </c>
      <c r="CS213" s="279">
        <v>6.0000000000000001E-3</v>
      </c>
      <c r="CT213">
        <f>CO213*CQ213*1000*IF(CO214=1,50%,IF(CO214=2,30%,IF(CO214=3,20%,IF(CO214&gt;3,0))))</f>
        <v>65</v>
      </c>
      <c r="CU213">
        <f>CO213*CR213*1000*IF(CO214=1,50%,IF(CO214=2,30%,IF(CO214=3,20%,IF(CO214&gt;3,0))))</f>
        <v>30</v>
      </c>
      <c r="CV213">
        <f>CO213*CS213*1000*IF(CO214=1,50%,IF(CO214=2,30%,IF(CO214=3,20%,IF(CO214&gt;3,0))))</f>
        <v>60</v>
      </c>
    </row>
    <row r="214" spans="81:107">
      <c r="CC214" t="s">
        <v>385</v>
      </c>
      <c r="CD214" s="306">
        <f>+E14</f>
        <v>1</v>
      </c>
      <c r="CE214" s="280" t="s">
        <v>386</v>
      </c>
      <c r="CF214"/>
      <c r="CG214"/>
      <c r="CH214"/>
      <c r="CI214"/>
      <c r="CJ214"/>
      <c r="CK214"/>
      <c r="CL214"/>
      <c r="CM214"/>
      <c r="CN214" t="s">
        <v>385</v>
      </c>
      <c r="CO214" s="306">
        <f>+E14</f>
        <v>1</v>
      </c>
      <c r="CP214" s="280" t="s">
        <v>386</v>
      </c>
      <c r="CQ214"/>
      <c r="CR214"/>
      <c r="CS214"/>
      <c r="CT214"/>
      <c r="CU214"/>
      <c r="CV214"/>
    </row>
    <row r="215" spans="81:107">
      <c r="CC215" t="s">
        <v>76</v>
      </c>
      <c r="CD215"/>
      <c r="CE215"/>
      <c r="CF215"/>
      <c r="CG215"/>
      <c r="CH215"/>
      <c r="CI215">
        <f>SUM(CI206:CI214)</f>
        <v>109.5</v>
      </c>
      <c r="CJ215">
        <f>SUM(CJ206:CJ214)</f>
        <v>82</v>
      </c>
      <c r="CK215">
        <f>SUM(CK206:CK214)</f>
        <v>60</v>
      </c>
      <c r="CL215"/>
      <c r="CM215"/>
      <c r="CN215" t="s">
        <v>76</v>
      </c>
      <c r="CO215"/>
      <c r="CP215"/>
      <c r="CQ215"/>
      <c r="CR215"/>
      <c r="CS215"/>
      <c r="CT215">
        <f>SUM(CT206:CT214)</f>
        <v>109.5</v>
      </c>
      <c r="CU215">
        <f>SUM(CU206:CU214)</f>
        <v>82</v>
      </c>
      <c r="CV215">
        <f>SUM(CV206:CV214)</f>
        <v>60</v>
      </c>
    </row>
    <row r="216" spans="81:107">
      <c r="CC216" s="311" t="s">
        <v>441</v>
      </c>
      <c r="CD216" s="281">
        <f>+F8/1000</f>
        <v>7</v>
      </c>
      <c r="CE216" t="s">
        <v>2</v>
      </c>
      <c r="CF216"/>
      <c r="CG216"/>
      <c r="CH216"/>
      <c r="CI216"/>
      <c r="CJ216"/>
      <c r="CK216"/>
      <c r="CL216"/>
      <c r="CM216"/>
      <c r="CN216" s="311" t="s">
        <v>441</v>
      </c>
      <c r="CO216" s="282">
        <f>+CD216</f>
        <v>7</v>
      </c>
      <c r="CP216" t="s">
        <v>2</v>
      </c>
      <c r="CQ216"/>
      <c r="CR216"/>
      <c r="CS216"/>
      <c r="CT216"/>
      <c r="CU216"/>
      <c r="CV216"/>
    </row>
    <row r="217" spans="81:107">
      <c r="CC217" s="311" t="s">
        <v>423</v>
      </c>
      <c r="CD217"/>
      <c r="CE217" t="s">
        <v>390</v>
      </c>
      <c r="CF217"/>
      <c r="CG217"/>
      <c r="CH217"/>
      <c r="CI217" s="283">
        <v>15.5</v>
      </c>
      <c r="CJ217" s="283">
        <v>10.5</v>
      </c>
      <c r="CK217" s="283">
        <v>7</v>
      </c>
      <c r="CL217"/>
      <c r="CM217"/>
      <c r="CN217" s="311" t="s">
        <v>423</v>
      </c>
      <c r="CO217"/>
      <c r="CP217" t="s">
        <v>390</v>
      </c>
      <c r="CQ217"/>
      <c r="CR217"/>
      <c r="CS217"/>
      <c r="CT217" s="283">
        <v>22</v>
      </c>
      <c r="CU217" s="283">
        <v>14</v>
      </c>
      <c r="CV217" s="283">
        <v>23</v>
      </c>
    </row>
    <row r="218" spans="81:107" ht="15" thickBot="1">
      <c r="CC218" s="311" t="s">
        <v>423</v>
      </c>
      <c r="CD218"/>
      <c r="CE218" t="s">
        <v>20</v>
      </c>
      <c r="CF218"/>
      <c r="CG218"/>
      <c r="CH218"/>
      <c r="CI218">
        <f>CD216*CI217</f>
        <v>108.5</v>
      </c>
      <c r="CJ218">
        <f>CD216*CJ217</f>
        <v>73.5</v>
      </c>
      <c r="CK218">
        <f>CD216*CK217</f>
        <v>49</v>
      </c>
      <c r="CL218"/>
      <c r="CM218"/>
      <c r="CN218" s="311" t="s">
        <v>423</v>
      </c>
      <c r="CO218"/>
      <c r="CP218" t="s">
        <v>20</v>
      </c>
      <c r="CQ218"/>
      <c r="CR218"/>
      <c r="CS218"/>
      <c r="CT218">
        <f>CO216*CT217</f>
        <v>154</v>
      </c>
      <c r="CU218">
        <f>CO216*CU217</f>
        <v>98</v>
      </c>
      <c r="CV218">
        <f>CO216*CV217</f>
        <v>161</v>
      </c>
    </row>
    <row r="219" spans="81:107" ht="16.5" thickTop="1" thickBot="1">
      <c r="CC219" s="284" t="s">
        <v>391</v>
      </c>
      <c r="CD219" s="285"/>
      <c r="CE219" s="285" t="s">
        <v>20</v>
      </c>
      <c r="CF219" s="285"/>
      <c r="CG219" s="285"/>
      <c r="CH219" s="285"/>
      <c r="CI219" s="286">
        <f>SUM(CI215:CI215)-CI218</f>
        <v>1</v>
      </c>
      <c r="CJ219" s="287">
        <f>CJ215-CJ218</f>
        <v>8.5</v>
      </c>
      <c r="CK219" s="288">
        <f>CK215-CK218</f>
        <v>11</v>
      </c>
      <c r="CL219"/>
      <c r="CM219"/>
      <c r="CN219" s="284" t="s">
        <v>391</v>
      </c>
      <c r="CO219" s="285"/>
      <c r="CP219" s="285" t="s">
        <v>20</v>
      </c>
      <c r="CQ219" s="285"/>
      <c r="CR219" s="285"/>
      <c r="CS219" s="285"/>
      <c r="CT219" s="285">
        <f>SUM(CT215:CT215)-CT218</f>
        <v>-44.5</v>
      </c>
      <c r="CU219" s="288">
        <f>CU215-CU218</f>
        <v>-16</v>
      </c>
      <c r="CV219" s="288">
        <f>CV215-CV218</f>
        <v>-101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303">
        <f>+Inputi!D8</f>
        <v>73.91304347826086</v>
      </c>
      <c r="CJ221" s="303">
        <f>+Inputi!E8</f>
        <v>90.168896321070235</v>
      </c>
      <c r="CK221" s="303">
        <f>+Inputi!F8</f>
        <v>42.600936454849503</v>
      </c>
      <c r="CL221"/>
      <c r="CM221"/>
      <c r="CN221" t="s">
        <v>5</v>
      </c>
      <c r="CO221"/>
      <c r="CP221"/>
      <c r="CQ221"/>
      <c r="CR221"/>
      <c r="CS221"/>
      <c r="CT221" s="303">
        <f>+Inputi!D8</f>
        <v>73.91304347826086</v>
      </c>
      <c r="CU221" s="303">
        <f>+Inputi!E8</f>
        <v>90.168896321070235</v>
      </c>
      <c r="CV221" s="303">
        <f>+Inputi!F8</f>
        <v>42.600936454849503</v>
      </c>
    </row>
    <row r="222" spans="81:107" ht="15">
      <c r="CC222" s="276" t="s">
        <v>392</v>
      </c>
      <c r="CD222" s="289">
        <f>SUMPRODUCT(CI221:CK221,CI215:CK215)</f>
        <v>18043.383946488295</v>
      </c>
      <c r="CE222"/>
      <c r="CF222"/>
      <c r="CG222"/>
      <c r="CH222"/>
      <c r="CI222"/>
      <c r="CJ222"/>
      <c r="CK222"/>
      <c r="CL222"/>
      <c r="CM222"/>
      <c r="CN222" s="276" t="s">
        <v>392</v>
      </c>
      <c r="CO222" s="289">
        <f>SUMPRODUCT(CT221:CV221,CT215:CV215)</f>
        <v>18043.383946488295</v>
      </c>
      <c r="CP222"/>
      <c r="CQ222"/>
      <c r="CR222"/>
      <c r="CS222"/>
      <c r="CT222"/>
      <c r="CU222"/>
      <c r="CV222"/>
    </row>
    <row r="223" spans="81:107" ht="15.75">
      <c r="CC223" s="290" t="s">
        <v>393</v>
      </c>
      <c r="CD223" s="291">
        <f>CI218*CI221+CJ218*CJ221+CK218*CK221</f>
        <v>16734.424983277593</v>
      </c>
      <c r="CE223"/>
      <c r="CF223"/>
      <c r="CG223"/>
      <c r="CH223"/>
      <c r="CI223"/>
      <c r="CJ223"/>
      <c r="CK223"/>
      <c r="CL223"/>
      <c r="CM223"/>
      <c r="CN223" s="290" t="s">
        <v>393</v>
      </c>
      <c r="CO223" s="291">
        <f>CT218*CT221+CU218*CU221+CV218*CV221</f>
        <v>27077.911304347825</v>
      </c>
      <c r="CP223"/>
      <c r="CQ223"/>
      <c r="CR223"/>
      <c r="CS223"/>
      <c r="CT223"/>
      <c r="CU223"/>
      <c r="CV223"/>
    </row>
    <row r="224" spans="81:107" ht="30">
      <c r="CC224" s="309" t="s">
        <v>394</v>
      </c>
      <c r="CD224" s="292">
        <f>CJ219*CJ221+CK219*CK221</f>
        <v>1235.0459197324415</v>
      </c>
      <c r="CE224"/>
      <c r="CF224"/>
      <c r="CG224"/>
      <c r="CH224"/>
      <c r="CI224"/>
      <c r="CJ224"/>
      <c r="CK224"/>
      <c r="CL224"/>
      <c r="CM224"/>
      <c r="CN224" s="309" t="s">
        <v>394</v>
      </c>
      <c r="CO224" s="292">
        <f>CU219*CU221+CV219*CV221</f>
        <v>-5745.3969230769235</v>
      </c>
      <c r="CP224"/>
      <c r="CQ224"/>
      <c r="CR224"/>
      <c r="CS224"/>
      <c r="CT224"/>
      <c r="CU224"/>
      <c r="CV224"/>
    </row>
  </sheetData>
  <sheetProtection password="B310" sheet="1" objects="1" scenarios="1"/>
  <protectedRanges>
    <protectedRange sqref="P20:R21" name="Range9"/>
    <protectedRange sqref="L4:L46" name="Range8"/>
    <protectedRange sqref="F4" name="Range1"/>
    <protectedRange sqref="F8:I9" name="Range2"/>
    <protectedRange sqref="D12:I44" name="Range3"/>
    <protectedRange sqref="F96:G96" name="Range4"/>
    <protectedRange sqref="I96:J96" name="Range5"/>
    <protectedRange sqref="D98:D99" name="Range6"/>
    <protectedRange sqref="D101:D102" name="Range7"/>
  </protectedRanges>
  <conditionalFormatting sqref="P5">
    <cfRule type="cellIs" dxfId="11" priority="6" operator="lessThan">
      <formula>0</formula>
    </cfRule>
  </conditionalFormatting>
  <conditionalFormatting sqref="Q5">
    <cfRule type="cellIs" dxfId="10" priority="5" operator="lessThan">
      <formula>0</formula>
    </cfRule>
  </conditionalFormatting>
  <conditionalFormatting sqref="R5">
    <cfRule type="cellIs" dxfId="9" priority="4" operator="lessThan">
      <formula>0</formula>
    </cfRule>
  </conditionalFormatting>
  <conditionalFormatting sqref="P7">
    <cfRule type="cellIs" dxfId="8" priority="3" operator="lessThan">
      <formula>0</formula>
    </cfRule>
  </conditionalFormatting>
  <conditionalFormatting sqref="Q7">
    <cfRule type="cellIs" dxfId="7" priority="2" operator="lessThan">
      <formula>0</formula>
    </cfRule>
  </conditionalFormatting>
  <conditionalFormatting sqref="R7">
    <cfRule type="cellIs" dxfId="6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verticalDpi="0" r:id="rId1"/>
  <rowBreaks count="1" manualBreakCount="1">
    <brk id="48" max="9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DC224"/>
  <sheetViews>
    <sheetView zoomScale="120" zoomScaleNormal="120" zoomScaleSheetLayoutView="100" workbookViewId="0">
      <selection activeCell="G20" sqref="G20"/>
    </sheetView>
  </sheetViews>
  <sheetFormatPr defaultRowHeight="14.25"/>
  <cols>
    <col min="1" max="1" width="2.7109375" style="3" customWidth="1"/>
    <col min="2" max="2" width="3.5703125" style="3" bestFit="1" customWidth="1"/>
    <col min="3" max="3" width="6.7109375" style="3" customWidth="1"/>
    <col min="4" max="4" width="21.28515625" style="3" customWidth="1"/>
    <col min="5" max="5" width="8.42578125" style="3" customWidth="1"/>
    <col min="6" max="6" width="12" style="3" customWidth="1"/>
    <col min="7" max="7" width="10" style="3" customWidth="1"/>
    <col min="8" max="8" width="10.7109375" style="3" customWidth="1"/>
    <col min="9" max="9" width="10.42578125" style="3" customWidth="1"/>
    <col min="10" max="10" width="14.7109375" style="3" customWidth="1"/>
    <col min="11" max="11" width="2.42578125" style="3" customWidth="1"/>
    <col min="12" max="12" width="10.5703125" style="2" customWidth="1"/>
    <col min="13" max="14" width="2.28515625" style="3" customWidth="1"/>
    <col min="15" max="15" width="20.7109375" style="3" customWidth="1"/>
    <col min="16" max="18" width="9.140625" style="3"/>
    <col min="19" max="19" width="19.7109375" style="3" customWidth="1"/>
    <col min="20" max="80" width="9.140625" style="3"/>
    <col min="81" max="81" width="19.28515625" style="3" customWidth="1"/>
    <col min="82" max="89" width="9.140625" style="3"/>
    <col min="90" max="91" width="2.5703125" style="3" customWidth="1"/>
    <col min="92" max="92" width="19.28515625" style="3" customWidth="1"/>
    <col min="93" max="100" width="9.140625" style="3"/>
    <col min="101" max="103" width="2.5703125" style="3" customWidth="1"/>
    <col min="104" max="104" width="12.5703125" style="3" bestFit="1" customWidth="1"/>
    <col min="105" max="16384" width="9.140625" style="3"/>
  </cols>
  <sheetData>
    <row r="1" spans="2:18" ht="23.25">
      <c r="C1" s="82" t="s">
        <v>447</v>
      </c>
      <c r="O1" s="331" t="s">
        <v>426</v>
      </c>
      <c r="P1" s="331"/>
      <c r="Q1" s="331"/>
      <c r="R1" s="331"/>
    </row>
    <row r="2" spans="2:18">
      <c r="O2" s="331" t="s">
        <v>428</v>
      </c>
      <c r="P2" s="331"/>
      <c r="Q2" s="331"/>
      <c r="R2" s="331"/>
    </row>
    <row r="3" spans="2:18" ht="15.75" thickBot="1">
      <c r="C3" s="89" t="s">
        <v>136</v>
      </c>
      <c r="D3" s="89"/>
      <c r="E3" s="89"/>
      <c r="F3" s="89"/>
      <c r="G3" s="89"/>
      <c r="H3" s="89"/>
      <c r="L3" s="81" t="s">
        <v>0</v>
      </c>
      <c r="O3" s="317"/>
      <c r="P3" s="316" t="s">
        <v>381</v>
      </c>
      <c r="Q3" s="316" t="s">
        <v>415</v>
      </c>
      <c r="R3" s="316" t="s">
        <v>416</v>
      </c>
    </row>
    <row r="4" spans="2:18" ht="15.75" thickBot="1">
      <c r="C4" s="90" t="s">
        <v>137</v>
      </c>
      <c r="D4" s="90"/>
      <c r="E4" s="90"/>
      <c r="F4" s="98">
        <v>2018</v>
      </c>
      <c r="L4" s="25"/>
      <c r="O4" s="318" t="s">
        <v>427</v>
      </c>
      <c r="P4" s="319">
        <f t="shared" ref="P4:R5" si="0">+CI218</f>
        <v>81</v>
      </c>
      <c r="Q4" s="319">
        <f t="shared" si="0"/>
        <v>27</v>
      </c>
      <c r="R4" s="319">
        <f t="shared" si="0"/>
        <v>54</v>
      </c>
    </row>
    <row r="5" spans="2:18" ht="15">
      <c r="L5" s="26"/>
      <c r="O5" s="339" t="s">
        <v>429</v>
      </c>
      <c r="P5" s="338">
        <f t="shared" si="0"/>
        <v>22.75</v>
      </c>
      <c r="Q5" s="338">
        <f t="shared" si="0"/>
        <v>27.5</v>
      </c>
      <c r="R5" s="338">
        <f t="shared" si="0"/>
        <v>23</v>
      </c>
    </row>
    <row r="6" spans="2:18" ht="38.25">
      <c r="E6" s="150" t="s">
        <v>150</v>
      </c>
      <c r="F6" s="123" t="s">
        <v>3</v>
      </c>
      <c r="G6" s="125" t="s">
        <v>4</v>
      </c>
      <c r="H6" s="123" t="s">
        <v>5</v>
      </c>
      <c r="I6" s="125" t="s">
        <v>4</v>
      </c>
      <c r="J6" s="123" t="s">
        <v>63</v>
      </c>
      <c r="L6" s="26"/>
    </row>
    <row r="7" spans="2:18" ht="15.75" thickBot="1">
      <c r="B7" s="32" t="s">
        <v>6</v>
      </c>
      <c r="C7" s="33" t="s">
        <v>7</v>
      </c>
      <c r="D7" s="34"/>
      <c r="E7" s="35"/>
      <c r="F7" s="4"/>
      <c r="G7" s="4"/>
      <c r="H7" s="4"/>
      <c r="I7" s="4"/>
      <c r="J7" s="4"/>
      <c r="L7" s="27"/>
    </row>
    <row r="8" spans="2:18" ht="15">
      <c r="B8" s="5" t="s">
        <v>8</v>
      </c>
      <c r="C8" s="36" t="s">
        <v>159</v>
      </c>
      <c r="E8" s="37">
        <v>1</v>
      </c>
      <c r="F8" s="83">
        <v>27000</v>
      </c>
      <c r="G8" s="128" t="s">
        <v>20</v>
      </c>
      <c r="H8" s="342">
        <v>20</v>
      </c>
      <c r="I8" s="128" t="s">
        <v>21</v>
      </c>
      <c r="J8" s="38">
        <f>E8*F8*H8</f>
        <v>540000</v>
      </c>
      <c r="L8" s="26"/>
    </row>
    <row r="9" spans="2:18" ht="15.75" thickBot="1">
      <c r="B9" s="5" t="s">
        <v>11</v>
      </c>
      <c r="C9" s="188"/>
      <c r="D9" s="66"/>
      <c r="E9" s="39">
        <v>1</v>
      </c>
      <c r="F9" s="51"/>
      <c r="G9" s="4"/>
      <c r="H9" s="343"/>
      <c r="I9" s="4"/>
      <c r="J9" s="40">
        <f>E9*F9*H9</f>
        <v>0</v>
      </c>
      <c r="L9" s="26"/>
    </row>
    <row r="10" spans="2:18" ht="15.75" thickBot="1">
      <c r="B10" s="41"/>
      <c r="C10" s="42" t="s">
        <v>46</v>
      </c>
      <c r="D10" s="43"/>
      <c r="E10" s="43"/>
      <c r="F10" s="44"/>
      <c r="G10" s="45"/>
      <c r="H10" s="44"/>
      <c r="I10" s="45"/>
      <c r="J10" s="46">
        <f>SUM(J8:J9)</f>
        <v>540000</v>
      </c>
      <c r="L10" s="26"/>
    </row>
    <row r="11" spans="2:18" ht="15">
      <c r="B11" s="47" t="s">
        <v>13</v>
      </c>
      <c r="C11" s="29" t="s">
        <v>14</v>
      </c>
      <c r="E11" s="48"/>
      <c r="F11" s="8"/>
      <c r="H11" s="8"/>
      <c r="J11" s="49"/>
      <c r="L11" s="26"/>
    </row>
    <row r="12" spans="2:18">
      <c r="B12" s="5" t="s">
        <v>8</v>
      </c>
      <c r="C12" s="4" t="s">
        <v>15</v>
      </c>
      <c r="E12" s="65">
        <v>1</v>
      </c>
      <c r="F12" s="126">
        <v>1900</v>
      </c>
      <c r="G12" s="4" t="s">
        <v>96</v>
      </c>
      <c r="H12" s="51">
        <v>60</v>
      </c>
      <c r="I12" s="4" t="s">
        <v>21</v>
      </c>
      <c r="J12" s="49">
        <f t="shared" ref="J12" si="1">E12*F12*H12</f>
        <v>114000</v>
      </c>
      <c r="L12" s="26"/>
    </row>
    <row r="13" spans="2:18">
      <c r="B13" s="10" t="s">
        <v>11</v>
      </c>
      <c r="C13" s="4" t="s">
        <v>106</v>
      </c>
      <c r="E13" s="65"/>
      <c r="F13" s="9"/>
      <c r="G13" s="4"/>
      <c r="H13" s="9"/>
      <c r="I13" s="4"/>
      <c r="J13" s="49"/>
      <c r="L13" s="26"/>
    </row>
    <row r="14" spans="2:18">
      <c r="C14" s="11"/>
      <c r="D14" s="52" t="s">
        <v>19</v>
      </c>
      <c r="E14" s="305">
        <v>1</v>
      </c>
      <c r="F14" s="51">
        <v>15000</v>
      </c>
      <c r="G14" s="3" t="s">
        <v>96</v>
      </c>
      <c r="H14" s="66">
        <v>1.5</v>
      </c>
      <c r="I14" s="3" t="s">
        <v>21</v>
      </c>
      <c r="J14" s="49">
        <f>H14*F14*IF(E14=1,0.5, IF(E14=2,0.3,IF(E14=3,0.2,"0")))</f>
        <v>11250</v>
      </c>
      <c r="L14" s="26" t="s">
        <v>420</v>
      </c>
    </row>
    <row r="15" spans="2:18">
      <c r="D15" s="52" t="s">
        <v>399</v>
      </c>
      <c r="E15" s="65">
        <v>1</v>
      </c>
      <c r="F15" s="51">
        <v>200</v>
      </c>
      <c r="G15" s="3" t="s">
        <v>96</v>
      </c>
      <c r="H15" s="66">
        <v>40</v>
      </c>
      <c r="I15" s="3" t="s">
        <v>21</v>
      </c>
      <c r="J15" s="49">
        <f t="shared" ref="J15:J44" si="2">E15*F15*H15</f>
        <v>8000</v>
      </c>
      <c r="L15" s="26"/>
    </row>
    <row r="16" spans="2:18">
      <c r="D16" s="52" t="s">
        <v>409</v>
      </c>
      <c r="E16" s="65">
        <v>1</v>
      </c>
      <c r="F16" s="51">
        <v>50</v>
      </c>
      <c r="G16" s="3" t="s">
        <v>96</v>
      </c>
      <c r="H16" s="66">
        <v>35</v>
      </c>
      <c r="I16" s="3" t="s">
        <v>21</v>
      </c>
      <c r="J16" s="49">
        <f t="shared" si="2"/>
        <v>1750</v>
      </c>
      <c r="L16" s="26"/>
    </row>
    <row r="17" spans="2:18">
      <c r="D17" s="52"/>
      <c r="E17" s="65">
        <v>1</v>
      </c>
      <c r="F17" s="51"/>
      <c r="G17" s="3" t="s">
        <v>96</v>
      </c>
      <c r="H17" s="66"/>
      <c r="I17" s="3" t="s">
        <v>21</v>
      </c>
      <c r="J17" s="49">
        <f t="shared" si="2"/>
        <v>0</v>
      </c>
      <c r="L17" s="26"/>
    </row>
    <row r="18" spans="2:18">
      <c r="D18" s="52"/>
      <c r="E18" s="65">
        <v>1</v>
      </c>
      <c r="F18" s="51"/>
      <c r="G18" s="3" t="s">
        <v>96</v>
      </c>
      <c r="H18" s="66"/>
      <c r="I18" s="3" t="s">
        <v>21</v>
      </c>
      <c r="J18" s="49">
        <f t="shared" si="2"/>
        <v>0</v>
      </c>
      <c r="L18" s="26"/>
    </row>
    <row r="19" spans="2:18" ht="15">
      <c r="D19" s="52"/>
      <c r="E19" s="65">
        <v>1</v>
      </c>
      <c r="F19" s="51"/>
      <c r="G19" s="3" t="s">
        <v>96</v>
      </c>
      <c r="H19" s="66"/>
      <c r="I19" s="3" t="s">
        <v>21</v>
      </c>
      <c r="J19" s="49">
        <f t="shared" si="2"/>
        <v>0</v>
      </c>
      <c r="L19" s="26"/>
      <c r="P19" s="307" t="s">
        <v>381</v>
      </c>
      <c r="Q19" s="307" t="s">
        <v>415</v>
      </c>
      <c r="R19" s="307" t="s">
        <v>416</v>
      </c>
    </row>
    <row r="20" spans="2:18">
      <c r="D20" s="320"/>
      <c r="E20" s="65">
        <v>1</v>
      </c>
      <c r="F20" s="51"/>
      <c r="G20" s="3" t="s">
        <v>96</v>
      </c>
      <c r="H20" s="66"/>
      <c r="I20" s="3" t="s">
        <v>21</v>
      </c>
      <c r="J20" s="49">
        <f t="shared" si="2"/>
        <v>0</v>
      </c>
      <c r="L20" s="321" t="s">
        <v>430</v>
      </c>
      <c r="P20" s="308">
        <v>0</v>
      </c>
      <c r="Q20" s="308">
        <v>0</v>
      </c>
      <c r="R20" s="308">
        <v>0</v>
      </c>
    </row>
    <row r="21" spans="2:18">
      <c r="D21" s="320"/>
      <c r="E21" s="65">
        <v>1</v>
      </c>
      <c r="F21" s="51"/>
      <c r="G21" s="3" t="s">
        <v>96</v>
      </c>
      <c r="H21" s="66"/>
      <c r="I21" s="3" t="s">
        <v>21</v>
      </c>
      <c r="J21" s="49">
        <f t="shared" si="2"/>
        <v>0</v>
      </c>
      <c r="L21" s="321" t="s">
        <v>430</v>
      </c>
      <c r="P21" s="308">
        <v>0</v>
      </c>
      <c r="Q21" s="308">
        <v>0</v>
      </c>
      <c r="R21" s="308">
        <v>0</v>
      </c>
    </row>
    <row r="22" spans="2:18">
      <c r="B22" s="10" t="s">
        <v>22</v>
      </c>
      <c r="C22" s="17" t="s">
        <v>23</v>
      </c>
      <c r="E22" s="31"/>
      <c r="J22" s="49"/>
      <c r="L22" s="26"/>
    </row>
    <row r="23" spans="2:18">
      <c r="D23" s="52" t="s">
        <v>154</v>
      </c>
      <c r="E23" s="65">
        <v>1</v>
      </c>
      <c r="F23" s="66">
        <v>40</v>
      </c>
      <c r="G23" s="3" t="s">
        <v>96</v>
      </c>
      <c r="H23" s="99">
        <v>200</v>
      </c>
      <c r="I23" s="3" t="s">
        <v>21</v>
      </c>
      <c r="J23" s="49">
        <f t="shared" si="2"/>
        <v>8000</v>
      </c>
      <c r="L23" s="26"/>
    </row>
    <row r="24" spans="2:18">
      <c r="D24" s="52" t="s">
        <v>155</v>
      </c>
      <c r="E24" s="65">
        <v>1</v>
      </c>
      <c r="F24" s="66">
        <v>5</v>
      </c>
      <c r="G24" s="3" t="s">
        <v>93</v>
      </c>
      <c r="H24" s="51">
        <v>1800</v>
      </c>
      <c r="I24" s="3" t="s">
        <v>34</v>
      </c>
      <c r="J24" s="49">
        <f t="shared" si="2"/>
        <v>9000</v>
      </c>
      <c r="L24" s="26"/>
    </row>
    <row r="25" spans="2:18">
      <c r="D25" s="52" t="s">
        <v>156</v>
      </c>
      <c r="E25" s="65">
        <v>1</v>
      </c>
      <c r="F25" s="66">
        <v>2.5</v>
      </c>
      <c r="G25" s="3" t="s">
        <v>96</v>
      </c>
      <c r="H25" s="51">
        <v>1000</v>
      </c>
      <c r="I25" s="3" t="s">
        <v>21</v>
      </c>
      <c r="J25" s="49">
        <f t="shared" si="2"/>
        <v>2500</v>
      </c>
      <c r="L25" s="26"/>
    </row>
    <row r="26" spans="2:18">
      <c r="D26" s="52" t="s">
        <v>157</v>
      </c>
      <c r="E26" s="65">
        <v>1</v>
      </c>
      <c r="F26" s="66">
        <v>5</v>
      </c>
      <c r="G26" s="3" t="s">
        <v>93</v>
      </c>
      <c r="H26" s="51">
        <v>1700</v>
      </c>
      <c r="I26" s="3" t="s">
        <v>34</v>
      </c>
      <c r="J26" s="49">
        <f t="shared" si="2"/>
        <v>8500</v>
      </c>
      <c r="L26" s="26"/>
    </row>
    <row r="27" spans="2:18">
      <c r="D27" s="52" t="s">
        <v>158</v>
      </c>
      <c r="E27" s="65">
        <v>1</v>
      </c>
      <c r="F27" s="66">
        <v>0.75</v>
      </c>
      <c r="G27" s="3" t="s">
        <v>96</v>
      </c>
      <c r="H27" s="51">
        <v>7000</v>
      </c>
      <c r="I27" s="3" t="s">
        <v>21</v>
      </c>
      <c r="J27" s="49">
        <f t="shared" si="2"/>
        <v>5250</v>
      </c>
      <c r="L27" s="26"/>
    </row>
    <row r="28" spans="2:18">
      <c r="D28" s="52" t="s">
        <v>29</v>
      </c>
      <c r="E28" s="65">
        <v>1</v>
      </c>
      <c r="F28" s="66"/>
      <c r="H28" s="51"/>
      <c r="J28" s="49">
        <f t="shared" si="2"/>
        <v>0</v>
      </c>
      <c r="L28" s="26"/>
    </row>
    <row r="29" spans="2:18">
      <c r="B29" s="10" t="s">
        <v>30</v>
      </c>
      <c r="C29" s="3" t="s">
        <v>52</v>
      </c>
      <c r="E29" s="31"/>
      <c r="H29" s="8"/>
      <c r="J29" s="49"/>
      <c r="L29" s="26"/>
    </row>
    <row r="30" spans="2:18">
      <c r="C30" s="11" t="s">
        <v>56</v>
      </c>
      <c r="D30" s="17" t="s">
        <v>56</v>
      </c>
      <c r="E30" s="39">
        <v>1</v>
      </c>
      <c r="F30" s="66">
        <v>15</v>
      </c>
      <c r="G30" s="3" t="s">
        <v>93</v>
      </c>
      <c r="H30" s="51">
        <v>145</v>
      </c>
      <c r="I30" s="3" t="s">
        <v>34</v>
      </c>
      <c r="J30" s="49">
        <f t="shared" si="2"/>
        <v>2175</v>
      </c>
      <c r="L30" s="26"/>
    </row>
    <row r="31" spans="2:18">
      <c r="B31" s="10" t="s">
        <v>35</v>
      </c>
      <c r="C31" s="3" t="s">
        <v>54</v>
      </c>
      <c r="E31" s="39">
        <v>1</v>
      </c>
      <c r="F31" s="66">
        <v>110</v>
      </c>
      <c r="G31" s="3" t="s">
        <v>93</v>
      </c>
      <c r="H31" s="51">
        <f>Inputi!G11</f>
        <v>145</v>
      </c>
      <c r="I31" s="3" t="s">
        <v>34</v>
      </c>
      <c r="J31" s="49">
        <f t="shared" si="2"/>
        <v>15950</v>
      </c>
      <c r="L31" s="26"/>
    </row>
    <row r="32" spans="2:18">
      <c r="B32" s="10" t="s">
        <v>40</v>
      </c>
      <c r="C32" s="3" t="s">
        <v>55</v>
      </c>
      <c r="E32" s="39">
        <v>1</v>
      </c>
      <c r="F32" s="3">
        <v>1</v>
      </c>
      <c r="G32" s="3" t="s">
        <v>1</v>
      </c>
      <c r="H32" s="8">
        <f>Inputi!$F$43*F31</f>
        <v>7278.3333333333339</v>
      </c>
      <c r="I32" s="3" t="s">
        <v>37</v>
      </c>
      <c r="J32" s="49">
        <f t="shared" si="2"/>
        <v>7278.3333333333339</v>
      </c>
      <c r="L32" s="26"/>
    </row>
    <row r="33" spans="2:12">
      <c r="B33" s="10" t="s">
        <v>60</v>
      </c>
      <c r="C33" s="3" t="s">
        <v>58</v>
      </c>
      <c r="E33" s="31"/>
      <c r="H33" s="8"/>
      <c r="J33" s="49"/>
      <c r="L33" s="26"/>
    </row>
    <row r="34" spans="2:12">
      <c r="B34" s="10"/>
      <c r="C34" s="67"/>
      <c r="D34" s="68" t="s">
        <v>152</v>
      </c>
      <c r="E34" s="65">
        <v>1</v>
      </c>
      <c r="F34" s="66">
        <v>1</v>
      </c>
      <c r="G34" s="3" t="s">
        <v>1</v>
      </c>
      <c r="H34" s="51">
        <v>6000</v>
      </c>
      <c r="I34" s="3" t="s">
        <v>37</v>
      </c>
      <c r="J34" s="49">
        <f t="shared" si="2"/>
        <v>6000</v>
      </c>
      <c r="L34" s="26"/>
    </row>
    <row r="35" spans="2:12">
      <c r="B35" s="10"/>
      <c r="C35" s="67"/>
      <c r="D35" s="68"/>
      <c r="E35" s="65">
        <v>1</v>
      </c>
      <c r="F35" s="66"/>
      <c r="G35" s="3" t="s">
        <v>1</v>
      </c>
      <c r="H35" s="51"/>
      <c r="I35" s="3" t="s">
        <v>37</v>
      </c>
      <c r="J35" s="49">
        <f t="shared" si="2"/>
        <v>0</v>
      </c>
      <c r="L35" s="26"/>
    </row>
    <row r="36" spans="2:12">
      <c r="B36" s="10"/>
      <c r="C36" s="67"/>
      <c r="D36" s="68"/>
      <c r="E36" s="65">
        <v>1</v>
      </c>
      <c r="F36" s="66"/>
      <c r="G36" s="3" t="s">
        <v>1</v>
      </c>
      <c r="H36" s="51"/>
      <c r="I36" s="3" t="s">
        <v>37</v>
      </c>
      <c r="J36" s="49">
        <f t="shared" si="2"/>
        <v>0</v>
      </c>
      <c r="L36" s="26"/>
    </row>
    <row r="37" spans="2:12">
      <c r="B37" s="10"/>
      <c r="C37" s="67"/>
      <c r="D37" s="68"/>
      <c r="E37" s="65">
        <v>1</v>
      </c>
      <c r="F37" s="66"/>
      <c r="G37" s="3" t="s">
        <v>1</v>
      </c>
      <c r="H37" s="51"/>
      <c r="I37" s="3" t="s">
        <v>37</v>
      </c>
      <c r="J37" s="49">
        <f t="shared" si="2"/>
        <v>0</v>
      </c>
      <c r="L37" s="26"/>
    </row>
    <row r="38" spans="2:12">
      <c r="C38" s="67"/>
      <c r="D38" s="68"/>
      <c r="E38" s="65">
        <v>1</v>
      </c>
      <c r="F38" s="66"/>
      <c r="G38" s="3" t="s">
        <v>1</v>
      </c>
      <c r="H38" s="51"/>
      <c r="I38" s="3" t="s">
        <v>37</v>
      </c>
      <c r="J38" s="49">
        <f t="shared" si="2"/>
        <v>0</v>
      </c>
      <c r="L38" s="26"/>
    </row>
    <row r="39" spans="2:12">
      <c r="C39" s="69"/>
      <c r="D39" s="66"/>
      <c r="E39" s="65">
        <v>1</v>
      </c>
      <c r="F39" s="66"/>
      <c r="G39" s="3" t="s">
        <v>1</v>
      </c>
      <c r="H39" s="51"/>
      <c r="I39" s="3" t="s">
        <v>37</v>
      </c>
      <c r="J39" s="49">
        <f t="shared" si="2"/>
        <v>0</v>
      </c>
      <c r="L39" s="26"/>
    </row>
    <row r="40" spans="2:12">
      <c r="B40" s="10" t="s">
        <v>62</v>
      </c>
      <c r="C40" s="3" t="s">
        <v>57</v>
      </c>
      <c r="E40" s="65">
        <v>1</v>
      </c>
      <c r="F40" s="66">
        <v>150</v>
      </c>
      <c r="G40" s="3" t="s">
        <v>100</v>
      </c>
      <c r="H40" s="51">
        <v>250</v>
      </c>
      <c r="I40" s="3" t="s">
        <v>105</v>
      </c>
      <c r="J40" s="49">
        <f t="shared" si="2"/>
        <v>37500</v>
      </c>
      <c r="L40" s="26"/>
    </row>
    <row r="41" spans="2:12">
      <c r="B41" s="10" t="s">
        <v>67</v>
      </c>
      <c r="C41" s="3" t="s">
        <v>271</v>
      </c>
      <c r="E41" s="65"/>
      <c r="H41" s="8"/>
      <c r="J41" s="49"/>
      <c r="L41" s="26"/>
    </row>
    <row r="42" spans="2:12">
      <c r="D42" s="66" t="s">
        <v>94</v>
      </c>
      <c r="E42" s="65">
        <v>1</v>
      </c>
      <c r="F42" s="51">
        <v>27000</v>
      </c>
      <c r="G42" s="3" t="s">
        <v>96</v>
      </c>
      <c r="H42" s="99">
        <v>3</v>
      </c>
      <c r="I42" s="3" t="s">
        <v>21</v>
      </c>
      <c r="J42" s="49">
        <f t="shared" si="2"/>
        <v>81000</v>
      </c>
      <c r="L42" s="26"/>
    </row>
    <row r="43" spans="2:12">
      <c r="D43" s="66" t="s">
        <v>95</v>
      </c>
      <c r="E43" s="65">
        <v>1</v>
      </c>
      <c r="F43" s="51">
        <v>27000</v>
      </c>
      <c r="G43" s="3" t="s">
        <v>96</v>
      </c>
      <c r="H43" s="99">
        <v>1</v>
      </c>
      <c r="I43" s="3" t="s">
        <v>21</v>
      </c>
      <c r="J43" s="49">
        <f t="shared" si="2"/>
        <v>27000</v>
      </c>
      <c r="L43" s="26"/>
    </row>
    <row r="44" spans="2:12" ht="15" thickBot="1">
      <c r="B44" s="3" t="s">
        <v>68</v>
      </c>
      <c r="C44" s="67" t="s">
        <v>374</v>
      </c>
      <c r="D44" s="4"/>
      <c r="E44" s="65">
        <v>1</v>
      </c>
      <c r="F44" s="209">
        <v>1</v>
      </c>
      <c r="G44" s="4" t="s">
        <v>1</v>
      </c>
      <c r="H44" s="51">
        <v>8500</v>
      </c>
      <c r="I44" s="3" t="s">
        <v>37</v>
      </c>
      <c r="J44" s="49">
        <f t="shared" si="2"/>
        <v>8500</v>
      </c>
      <c r="L44" s="26"/>
    </row>
    <row r="45" spans="2:12" ht="15.75" thickBot="1">
      <c r="B45" s="41"/>
      <c r="C45" s="42" t="s">
        <v>101</v>
      </c>
      <c r="D45" s="43"/>
      <c r="E45" s="43"/>
      <c r="F45" s="44"/>
      <c r="G45" s="45"/>
      <c r="H45" s="44"/>
      <c r="I45" s="45"/>
      <c r="J45" s="46">
        <f>SUM(J12:J44)</f>
        <v>353653.33333333337</v>
      </c>
      <c r="L45" s="26"/>
    </row>
    <row r="46" spans="2:12" ht="15.75" thickBot="1">
      <c r="B46" s="70" t="s">
        <v>103</v>
      </c>
      <c r="C46" s="71" t="s">
        <v>102</v>
      </c>
      <c r="D46" s="71"/>
      <c r="E46" s="72"/>
      <c r="F46" s="72"/>
      <c r="G46" s="72"/>
      <c r="H46" s="73"/>
      <c r="I46" s="72"/>
      <c r="J46" s="28">
        <f>J10-J45</f>
        <v>186346.66666666663</v>
      </c>
      <c r="L46" s="26"/>
    </row>
    <row r="47" spans="2:12" ht="16.5" thickTop="1" thickBot="1">
      <c r="B47" s="70" t="s">
        <v>403</v>
      </c>
      <c r="C47" s="71" t="s">
        <v>418</v>
      </c>
      <c r="D47" s="71"/>
      <c r="E47" s="72"/>
      <c r="F47" s="72"/>
      <c r="G47" s="72"/>
      <c r="H47" s="73"/>
      <c r="I47" s="72"/>
      <c r="J47" s="28">
        <f>J10-J45+IF(J9&gt;100,CO224,IF(J9&lt;100,CD224,"0"))</f>
        <v>189806.13285395759</v>
      </c>
      <c r="L47" s="64"/>
    </row>
    <row r="48" spans="2:12" ht="15" thickTop="1"/>
    <row r="49" spans="2:8" ht="15.75" thickBot="1">
      <c r="C49" s="89" t="s">
        <v>256</v>
      </c>
      <c r="D49" s="90"/>
      <c r="E49" s="90"/>
      <c r="F49" s="90"/>
      <c r="G49" s="90"/>
      <c r="H49" s="90"/>
    </row>
    <row r="50" spans="2:8" ht="15" thickBot="1"/>
    <row r="51" spans="2:8" ht="15.75" thickTop="1">
      <c r="C51" s="74" t="s">
        <v>7</v>
      </c>
      <c r="D51" s="75"/>
      <c r="E51" s="75"/>
      <c r="F51" s="76" t="s">
        <v>107</v>
      </c>
    </row>
    <row r="52" spans="2:8">
      <c r="C52" s="53" t="s">
        <v>285</v>
      </c>
      <c r="F52" s="8">
        <f>J8</f>
        <v>540000</v>
      </c>
    </row>
    <row r="53" spans="2:8" ht="15" thickBot="1">
      <c r="C53" s="54"/>
      <c r="F53" s="8">
        <f>J9</f>
        <v>0</v>
      </c>
    </row>
    <row r="54" spans="2:8" ht="15.75" thickBot="1">
      <c r="B54" s="55"/>
      <c r="C54" s="42" t="s">
        <v>46</v>
      </c>
      <c r="D54" s="43"/>
      <c r="E54" s="43"/>
      <c r="F54" s="56">
        <f>J10</f>
        <v>540000</v>
      </c>
    </row>
    <row r="55" spans="2:8" ht="15">
      <c r="B55" s="55"/>
      <c r="C55" s="29" t="s">
        <v>14</v>
      </c>
      <c r="F55" s="8"/>
    </row>
    <row r="56" spans="2:8">
      <c r="C56" s="54" t="s">
        <v>15</v>
      </c>
      <c r="F56" s="8">
        <f>J12</f>
        <v>114000</v>
      </c>
    </row>
    <row r="57" spans="2:8">
      <c r="C57" s="54" t="s">
        <v>106</v>
      </c>
      <c r="F57" s="8">
        <f>SUM(J14:J21)</f>
        <v>21000</v>
      </c>
    </row>
    <row r="58" spans="2:8">
      <c r="C58" s="54" t="s">
        <v>23</v>
      </c>
      <c r="F58" s="8">
        <f>SUM(J23:J28)</f>
        <v>33250</v>
      </c>
    </row>
    <row r="59" spans="2:8">
      <c r="C59" s="54" t="s">
        <v>52</v>
      </c>
      <c r="F59" s="8">
        <f>J30</f>
        <v>2175</v>
      </c>
    </row>
    <row r="60" spans="2:8">
      <c r="C60" s="54" t="s">
        <v>54</v>
      </c>
      <c r="F60" s="8">
        <f>J31</f>
        <v>15950</v>
      </c>
    </row>
    <row r="61" spans="2:8">
      <c r="C61" s="54" t="s">
        <v>55</v>
      </c>
      <c r="F61" s="8">
        <f>J32</f>
        <v>7278.3333333333339</v>
      </c>
    </row>
    <row r="62" spans="2:8">
      <c r="C62" s="54" t="s">
        <v>58</v>
      </c>
      <c r="F62" s="8">
        <f>SUM(J34:J39)</f>
        <v>6000</v>
      </c>
    </row>
    <row r="63" spans="2:8">
      <c r="C63" s="54" t="s">
        <v>53</v>
      </c>
      <c r="F63" s="8">
        <f>J40</f>
        <v>37500</v>
      </c>
    </row>
    <row r="64" spans="2:8">
      <c r="C64" s="54" t="s">
        <v>271</v>
      </c>
      <c r="F64" s="8">
        <f>SUM(J42:J43)</f>
        <v>108000</v>
      </c>
    </row>
    <row r="65" spans="3:6" ht="15" thickBot="1">
      <c r="C65" s="199" t="s">
        <v>374</v>
      </c>
      <c r="F65" s="8">
        <f>J44</f>
        <v>8500</v>
      </c>
    </row>
    <row r="66" spans="3:6" ht="15.75" thickBot="1">
      <c r="C66" s="42" t="s">
        <v>101</v>
      </c>
      <c r="D66" s="43"/>
      <c r="E66" s="43"/>
      <c r="F66" s="56">
        <f>SUM(F56:F65)</f>
        <v>353653.33333333337</v>
      </c>
    </row>
    <row r="67" spans="3:6" ht="15.75" thickBot="1">
      <c r="C67" s="71" t="s">
        <v>42</v>
      </c>
      <c r="D67" s="72"/>
      <c r="E67" s="72"/>
      <c r="F67" s="77">
        <f>F54-F66</f>
        <v>186346.66666666663</v>
      </c>
    </row>
    <row r="68" spans="3:6" ht="15.75" thickTop="1">
      <c r="C68" s="96"/>
      <c r="D68" s="97"/>
      <c r="E68" s="97"/>
      <c r="F68" s="63"/>
    </row>
    <row r="93" spans="4:10" ht="15.75" thickBot="1">
      <c r="D93" s="89" t="s">
        <v>183</v>
      </c>
      <c r="E93" s="90"/>
      <c r="F93" s="90"/>
      <c r="G93" s="90"/>
      <c r="H93" s="90"/>
      <c r="I93" s="90"/>
      <c r="J93" s="90"/>
    </row>
    <row r="95" spans="4:10" ht="15.75" thickBot="1">
      <c r="D95" s="12"/>
      <c r="E95" s="13"/>
      <c r="F95" s="14"/>
      <c r="G95" s="57"/>
      <c r="H95" s="57" t="s">
        <v>160</v>
      </c>
      <c r="I95" s="57"/>
      <c r="J95" s="79"/>
    </row>
    <row r="96" spans="4:10">
      <c r="D96" s="15"/>
      <c r="E96" s="16"/>
      <c r="F96" s="154">
        <v>-0.2</v>
      </c>
      <c r="G96" s="154">
        <v>-0.1</v>
      </c>
      <c r="H96" s="59" t="s">
        <v>110</v>
      </c>
      <c r="I96" s="154">
        <v>0.1</v>
      </c>
      <c r="J96" s="155">
        <v>0.2</v>
      </c>
    </row>
    <row r="97" spans="4:10" ht="15.75" thickBot="1">
      <c r="D97" s="60" t="s">
        <v>109</v>
      </c>
      <c r="E97" s="61"/>
      <c r="F97" s="92">
        <f>H97*(1+F96)</f>
        <v>16</v>
      </c>
      <c r="G97" s="92">
        <f>H97*(1+G96)</f>
        <v>18</v>
      </c>
      <c r="H97" s="92">
        <f>H8</f>
        <v>20</v>
      </c>
      <c r="I97" s="93">
        <f>$H$97*(1+I96)</f>
        <v>22</v>
      </c>
      <c r="J97" s="94">
        <f>$H$97*(1+J96)</f>
        <v>24</v>
      </c>
    </row>
    <row r="98" spans="4:10" ht="15">
      <c r="D98" s="152">
        <v>-0.2</v>
      </c>
      <c r="E98" s="62">
        <f>$E$100*(1+D98)</f>
        <v>21600</v>
      </c>
      <c r="F98" s="88">
        <f>$H$98-$E$98*($H$97-F97)</f>
        <v>-4593.8671460424084</v>
      </c>
      <c r="G98" s="88">
        <f>$H$98-$E$98*($H$97-G97)</f>
        <v>38606.132853957592</v>
      </c>
      <c r="H98" s="88">
        <f>$H$100-($E$100-E98)*$H$97</f>
        <v>81806.132853957592</v>
      </c>
      <c r="I98" s="84">
        <f>$H$98+$E$98*(I97-$H$97)</f>
        <v>125006.13285395759</v>
      </c>
      <c r="J98" s="85">
        <f>$H$98+$E$98*(J97-$H$97)</f>
        <v>168206.13285395759</v>
      </c>
    </row>
    <row r="99" spans="4:10" ht="15">
      <c r="D99" s="152">
        <v>-0.1</v>
      </c>
      <c r="E99" s="62">
        <f>$E$100*(1+D99)</f>
        <v>24300</v>
      </c>
      <c r="F99" s="88">
        <f>$H$99-$E$99*($H$97-F97)</f>
        <v>38606.132853957592</v>
      </c>
      <c r="G99" s="88">
        <f>$H$99-$E$99*($H$97-G97)</f>
        <v>87206.132853957592</v>
      </c>
      <c r="H99" s="88">
        <f>$H$100-($E$100-E99)*$H$97</f>
        <v>135806.13285395759</v>
      </c>
      <c r="I99" s="88">
        <f>$H$99+$E$99*(I97-$H$97)</f>
        <v>184406.13285395759</v>
      </c>
      <c r="J99" s="91">
        <f>$H$99+$E$99*(J97-$H$97)</f>
        <v>233006.13285395759</v>
      </c>
    </row>
    <row r="100" spans="4:10" ht="15">
      <c r="D100" s="18" t="s">
        <v>43</v>
      </c>
      <c r="E100" s="62">
        <f>F8</f>
        <v>27000</v>
      </c>
      <c r="F100" s="88">
        <f>$H$100-$E$100*($H$97-F97)</f>
        <v>81806.132853957592</v>
      </c>
      <c r="G100" s="88">
        <f>$H$100-$E$100*($H$97-G97)</f>
        <v>135806.13285395759</v>
      </c>
      <c r="H100" s="63">
        <f>J47</f>
        <v>189806.13285395759</v>
      </c>
      <c r="I100" s="84">
        <f>$H$100+$E$100*(I97-$H$97)</f>
        <v>243806.13285395759</v>
      </c>
      <c r="J100" s="85">
        <f>$H$100+$E$100*(J97-$H$97)</f>
        <v>297806.13285395759</v>
      </c>
    </row>
    <row r="101" spans="4:10" ht="15">
      <c r="D101" s="152">
        <v>0.1</v>
      </c>
      <c r="E101" s="78">
        <f>$E$100*(1+D101)</f>
        <v>29700.000000000004</v>
      </c>
      <c r="F101" s="84">
        <f>$H$101-$E$101*($H$97-F97)</f>
        <v>125006.13285395764</v>
      </c>
      <c r="G101" s="84">
        <f>$H$101-$E$101*($H$97-G97)</f>
        <v>184406.13285395765</v>
      </c>
      <c r="H101" s="88">
        <f>$H$100-($E$100-E101)*$H$97</f>
        <v>243806.13285395765</v>
      </c>
      <c r="I101" s="84">
        <f>$H$101+$E$101*(I97-$H$97)</f>
        <v>303206.13285395765</v>
      </c>
      <c r="J101" s="85">
        <f>$H$101+$E$101*(J97-$H$97)</f>
        <v>362606.13285395765</v>
      </c>
    </row>
    <row r="102" spans="4:10" ht="15">
      <c r="D102" s="153">
        <v>0.2</v>
      </c>
      <c r="E102" s="80">
        <f>$E$100*(1+D102)</f>
        <v>32400</v>
      </c>
      <c r="F102" s="86">
        <f>$H$102-$E$102*($H$97-F97)</f>
        <v>168206.13285395759</v>
      </c>
      <c r="G102" s="86">
        <f>$H$102-$E$102*($H$97-G97)</f>
        <v>233006.13285395759</v>
      </c>
      <c r="H102" s="95">
        <f>$H$100-($E$100-E102)*$H$97</f>
        <v>297806.13285395759</v>
      </c>
      <c r="I102" s="86">
        <f>$H$102+$E$102*(I97-$H$97)</f>
        <v>362606.13285395759</v>
      </c>
      <c r="J102" s="87">
        <f>$H$102+$E$102*(J97-$H$97)</f>
        <v>427406.13285395759</v>
      </c>
    </row>
    <row r="203" spans="81:107" ht="15.75">
      <c r="CC203" s="269" t="s">
        <v>375</v>
      </c>
      <c r="CD203" s="270"/>
      <c r="CE203" s="270"/>
      <c r="CF203" s="270"/>
      <c r="CG203" s="270"/>
      <c r="CH203" s="270"/>
      <c r="CI203" s="270"/>
      <c r="CJ203" s="270"/>
      <c r="CK203" s="270"/>
      <c r="CL203"/>
      <c r="CM203"/>
      <c r="CN203" s="271" t="s">
        <v>414</v>
      </c>
      <c r="CO203" s="272"/>
      <c r="CP203" s="272"/>
      <c r="CQ203" s="272"/>
      <c r="CR203" s="272"/>
      <c r="CS203" s="272"/>
      <c r="CT203" s="272"/>
      <c r="CU203" s="272"/>
      <c r="CV203" s="272"/>
      <c r="CZ203" s="298" t="s">
        <v>408</v>
      </c>
      <c r="DA203" s="300">
        <v>0.15</v>
      </c>
      <c r="DB203" s="300">
        <v>0.15</v>
      </c>
      <c r="DC203" s="300">
        <v>0.15</v>
      </c>
    </row>
    <row r="204" spans="81:107" ht="15.75">
      <c r="CC204" s="273" t="s">
        <v>376</v>
      </c>
      <c r="CD204" s="273" t="s">
        <v>377</v>
      </c>
      <c r="CE204" s="273" t="s">
        <v>378</v>
      </c>
      <c r="CF204" s="274" t="s">
        <v>379</v>
      </c>
      <c r="CG204" s="274"/>
      <c r="CH204" s="274"/>
      <c r="CI204" s="274" t="s">
        <v>380</v>
      </c>
      <c r="CJ204" s="274"/>
      <c r="CK204" s="275"/>
      <c r="CL204"/>
      <c r="CM204"/>
      <c r="CN204" s="273" t="s">
        <v>376</v>
      </c>
      <c r="CO204" s="273" t="s">
        <v>377</v>
      </c>
      <c r="CP204" s="273" t="s">
        <v>378</v>
      </c>
      <c r="CQ204" s="274" t="s">
        <v>379</v>
      </c>
      <c r="CR204" s="274"/>
      <c r="CS204" s="274"/>
      <c r="CT204" s="274" t="s">
        <v>380</v>
      </c>
      <c r="CU204" s="274"/>
      <c r="CV204" s="275"/>
      <c r="CZ204" s="298" t="s">
        <v>399</v>
      </c>
      <c r="DA204" s="300">
        <v>0.16</v>
      </c>
      <c r="DB204" s="300">
        <v>0.16</v>
      </c>
      <c r="DC204" s="300">
        <v>0.16</v>
      </c>
    </row>
    <row r="205" spans="81:107" ht="18">
      <c r="CC205"/>
      <c r="CD205"/>
      <c r="CE205"/>
      <c r="CF205" s="276" t="s">
        <v>381</v>
      </c>
      <c r="CG205" s="276" t="s">
        <v>382</v>
      </c>
      <c r="CH205" s="276" t="s">
        <v>383</v>
      </c>
      <c r="CI205" s="276" t="s">
        <v>381</v>
      </c>
      <c r="CJ205" s="276" t="s">
        <v>382</v>
      </c>
      <c r="CK205" s="276" t="s">
        <v>383</v>
      </c>
      <c r="CL205"/>
      <c r="CM205"/>
      <c r="CN205"/>
      <c r="CO205"/>
      <c r="CP205"/>
      <c r="CQ205" s="276" t="s">
        <v>381</v>
      </c>
      <c r="CR205" s="276" t="s">
        <v>382</v>
      </c>
      <c r="CS205" s="276" t="s">
        <v>383</v>
      </c>
      <c r="CT205" s="276" t="s">
        <v>381</v>
      </c>
      <c r="CU205" s="276" t="s">
        <v>382</v>
      </c>
      <c r="CV205" s="276" t="s">
        <v>383</v>
      </c>
      <c r="CZ205" s="298" t="s">
        <v>407</v>
      </c>
      <c r="DA205" s="300">
        <v>0.06</v>
      </c>
      <c r="DB205" s="300">
        <v>0.12</v>
      </c>
      <c r="DC205" s="300">
        <v>0.24</v>
      </c>
    </row>
    <row r="206" spans="81:107">
      <c r="CC206" t="str">
        <f>+D15</f>
        <v>NPK 16:16:16</v>
      </c>
      <c r="CD206" s="21">
        <f>+F15</f>
        <v>200</v>
      </c>
      <c r="CE206" t="s">
        <v>20</v>
      </c>
      <c r="CF206" s="304">
        <f>IF($CC206=$CZ$203,$DA$203,IF($CC206=$CZ$204,$DA$204,IF($CC206=$CZ$205,$DA$205,IF($CC206=$CZ$206,$DA$206, IF($CC206=$CZ$207,$DA$207,IF($CC206=$CZ$208,$DA$208,IF($CC206=$CZ$209,$DA$209,IF($CC206=$CZ$210,$DA$210,"0%"))))))))</f>
        <v>0.16</v>
      </c>
      <c r="CG206" s="304">
        <f>IF($CC206=$CZ$203,$DB$203,IF($CC206=$CZ$204,$DB$204,IF($CC206=$CZ$205,$DB$205,IF($CC206=$CZ$206,$DB$206, IF($CC206=$CZ$207,$DB$207,IF($CC206=$CZ$208,$DB$208,IF($CC206=$CZ$209,$DB$209,IF($CC206=$CZ$210,$DB$210,"0%"))))))))</f>
        <v>0.16</v>
      </c>
      <c r="CH206" s="304">
        <f>IF($CC206=$CZ$203,$DC$203,IF($CC206=$CZ$204,$DC$204,IF($CC206=$CZ$205,$DC$205,IF($CC206=$CZ$206,$DC$206, IF($CC206=$CZ$207,$DC$207,IF($CC206=$CZ$208,$DC$208,IF($CC206=$CZ$209,$DC$209,IF($CC206=$CZ$210,$DC$210,"0%"))))))))</f>
        <v>0.16</v>
      </c>
      <c r="CI206">
        <f>$CD206*CF206</f>
        <v>32</v>
      </c>
      <c r="CJ206">
        <f t="shared" ref="CJ206:CK212" si="3">$CD206*CG206</f>
        <v>32</v>
      </c>
      <c r="CK206">
        <f t="shared" si="3"/>
        <v>32</v>
      </c>
      <c r="CL206"/>
      <c r="CM206"/>
      <c r="CN206" s="1" t="str">
        <f>D15</f>
        <v>NPK 16:16:16</v>
      </c>
      <c r="CO206" s="21">
        <f>+F15</f>
        <v>200</v>
      </c>
      <c r="CP206" t="s">
        <v>20</v>
      </c>
      <c r="CQ206" s="304">
        <f>IF($CC206=$CZ$203,$DA$203,IF($CC206=$CZ$204,$DA$204,IF($CC206=$CZ$205,$DA$205,IF($CC206=$CZ$206,$DA$206, IF($CC206=$CZ$207,$DA$207,IF($CC206=$CZ$208,$DA$208,IF($CC206=$CZ$209,$DA$209,IF($CC206=$CZ$210,$DA$210,"0%"))))))))</f>
        <v>0.16</v>
      </c>
      <c r="CR206" s="304">
        <f>IF($CC206=$CZ$203,$DB$203,IF($CC206=$CZ$204,$DB$204,IF($CC206=$CZ$205,$DB$205,IF($CC206=$CZ$206,$DB$206, IF($CC206=$CZ$207,$DB$207,IF($CC206=$CZ$208,$DB$208,IF($CC206=$CZ$209,$DB$209,IF($CC206=$CZ$210,$DB$210,"0%"))))))))</f>
        <v>0.16</v>
      </c>
      <c r="CS206" s="304">
        <f>IF($CC206=$CZ$203,$DC$203,IF($CC206=$CZ$204,$DC$204,IF($CC206=$CZ$205,$DC$205,IF($CC206=$CZ$206,$DC$206, IF($CC206=$CZ$207,$DC$207,IF($CC206=$CZ$208,$DC$208,IF($CC206=$CZ$209,$DC$209,IF($CC206=$CZ$210,$DC$210,"0%"))))))))</f>
        <v>0.16</v>
      </c>
      <c r="CT206">
        <f>CO206*CQ206</f>
        <v>32</v>
      </c>
      <c r="CU206">
        <f>CO206*CR206</f>
        <v>32</v>
      </c>
      <c r="CV206">
        <f>CO206*CS206</f>
        <v>32</v>
      </c>
      <c r="CZ206" s="299" t="s">
        <v>412</v>
      </c>
      <c r="DA206" s="301">
        <v>0.11</v>
      </c>
      <c r="DB206" s="301">
        <v>0.52</v>
      </c>
      <c r="DC206" s="301">
        <v>0</v>
      </c>
    </row>
    <row r="207" spans="81:107">
      <c r="CC207" t="str">
        <f t="shared" ref="CC207:CC212" si="4">+D16</f>
        <v>UREA 46:0:0</v>
      </c>
      <c r="CD207" s="21">
        <f t="shared" ref="CD207:CD212" si="5">+F16</f>
        <v>50</v>
      </c>
      <c r="CE207" t="s">
        <v>20</v>
      </c>
      <c r="CF207" s="304">
        <f t="shared" ref="CF207:CF210" si="6">IF($CC207=$CZ$203,$DA$203,IF($CC207=$CZ$204,$DA$204,IF($CC207=$CZ$205,$DA$205,IF($CC207=CZ$206,$DA$206, IF($CC207=CZ$207,$DA$207,IF($CC207=$CZ$208,$DA$208,IF($CC207=$CZ$209,$DA$209,IF($CC207=$CZ$210,$DA$210,"0%"))))))))</f>
        <v>0.46</v>
      </c>
      <c r="CG207" s="304">
        <f t="shared" ref="CG207:CG210" si="7">IF($CC207=$CZ$203,$DB$203,IF($CC207=$CZ$204,$DB$204,IF($CC207=$CZ$205,$DB$205,IF($CC207=$CZ$206,$DB$206, IF($CC207=$CZ$207,$DB$207,IF($CC207=$CZ$208,$DB$208,IF($CC207=$CZ$209,$DB$209,IF($CC207=$CZ$210,$DB$210,"0%"))))))))</f>
        <v>0</v>
      </c>
      <c r="CH207" s="304">
        <f t="shared" ref="CH207:CH210" si="8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23</v>
      </c>
      <c r="CJ207">
        <f t="shared" si="3"/>
        <v>0</v>
      </c>
      <c r="CK207">
        <f t="shared" si="3"/>
        <v>0</v>
      </c>
      <c r="CL207"/>
      <c r="CM207"/>
      <c r="CN207" s="1" t="str">
        <f t="shared" ref="CN207:CN212" si="9">D16</f>
        <v>UREA 46:0:0</v>
      </c>
      <c r="CO207" s="21">
        <f t="shared" ref="CO207:CO212" si="10">+F16</f>
        <v>50</v>
      </c>
      <c r="CP207" t="s">
        <v>20</v>
      </c>
      <c r="CQ207" s="304">
        <f t="shared" ref="CQ207:CQ210" si="11">IF($CC207=$CZ$203,$DA$203,IF($CC207=$CZ$204,$DA$204,IF($CC207=$CZ$205,$DA$205,IF($CC207=$CZ$206,$DA$206, IF($CC207=$CZ$207,$DA$207,IF($CC207=$CZ$208,$DA$208,IF($CC207=$CZ$209,$DA$209,IF($CC207=$CZ$210,$DA$210,"0%"))))))))</f>
        <v>0.46</v>
      </c>
      <c r="CR207" s="304">
        <f t="shared" ref="CR207:CR210" si="12">IF($CC207=$CZ$203,$DB$203,IF($CC207=$CZ$204,$DB$204,IF($CC207=$CZ$205,$DB$205,IF($CC207=$CZ$206,$DB$206, IF($CC207=$CZ$207,$DB$207,IF($CC207=$CZ$208,$DB$208,IF($CC207=$CZ$209,$DB$209,IF($CC207=$CZ$210,$DB$210,"0%"))))))))</f>
        <v>0</v>
      </c>
      <c r="CS207" s="304">
        <f t="shared" ref="CS207:CS210" si="13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4">CO207*CQ207</f>
        <v>23</v>
      </c>
      <c r="CU207">
        <f t="shared" ref="CU207:CU212" si="15">CO207*CR207</f>
        <v>0</v>
      </c>
      <c r="CV207">
        <f t="shared" ref="CV207:CV212" si="16">CO207*CS207</f>
        <v>0</v>
      </c>
      <c r="CZ207" s="299" t="s">
        <v>413</v>
      </c>
      <c r="DA207" s="301">
        <v>0.12</v>
      </c>
      <c r="DB207" s="301">
        <v>0.52</v>
      </c>
      <c r="DC207" s="301">
        <v>0</v>
      </c>
    </row>
    <row r="208" spans="81:107">
      <c r="CC208">
        <f t="shared" si="4"/>
        <v>0</v>
      </c>
      <c r="CD208" s="21">
        <f t="shared" si="5"/>
        <v>0</v>
      </c>
      <c r="CE208" t="s">
        <v>20</v>
      </c>
      <c r="CF208" s="304" t="str">
        <f t="shared" si="6"/>
        <v>0%</v>
      </c>
      <c r="CG208" s="304" t="str">
        <f t="shared" si="7"/>
        <v>0%</v>
      </c>
      <c r="CH208" s="304" t="str">
        <f t="shared" si="8"/>
        <v>0%</v>
      </c>
      <c r="CI208">
        <f t="shared" ref="CI208:CI212" si="17">$CD208*CF208</f>
        <v>0</v>
      </c>
      <c r="CJ208">
        <f t="shared" si="3"/>
        <v>0</v>
      </c>
      <c r="CK208">
        <f t="shared" si="3"/>
        <v>0</v>
      </c>
      <c r="CL208"/>
      <c r="CM208"/>
      <c r="CN208" s="1">
        <f t="shared" si="9"/>
        <v>0</v>
      </c>
      <c r="CO208" s="21">
        <f t="shared" si="10"/>
        <v>0</v>
      </c>
      <c r="CP208" t="s">
        <v>20</v>
      </c>
      <c r="CQ208" s="304" t="str">
        <f t="shared" si="11"/>
        <v>0%</v>
      </c>
      <c r="CR208" s="304" t="str">
        <f t="shared" si="12"/>
        <v>0%</v>
      </c>
      <c r="CS208" s="304" t="str">
        <f t="shared" si="13"/>
        <v>0%</v>
      </c>
      <c r="CT208">
        <f t="shared" si="14"/>
        <v>0</v>
      </c>
      <c r="CU208">
        <f t="shared" si="15"/>
        <v>0</v>
      </c>
      <c r="CV208">
        <f t="shared" si="16"/>
        <v>0</v>
      </c>
      <c r="CZ208" s="298" t="s">
        <v>409</v>
      </c>
      <c r="DA208" s="301">
        <v>0.46</v>
      </c>
      <c r="DB208" s="301">
        <v>0</v>
      </c>
      <c r="DC208" s="301">
        <v>0</v>
      </c>
    </row>
    <row r="209" spans="81:107">
      <c r="CC209">
        <f t="shared" si="4"/>
        <v>0</v>
      </c>
      <c r="CD209" s="21">
        <f t="shared" si="5"/>
        <v>0</v>
      </c>
      <c r="CE209" t="s">
        <v>20</v>
      </c>
      <c r="CF209" s="304" t="str">
        <f t="shared" si="6"/>
        <v>0%</v>
      </c>
      <c r="CG209" s="304" t="str">
        <f t="shared" si="7"/>
        <v>0%</v>
      </c>
      <c r="CH209" s="304" t="str">
        <f t="shared" si="8"/>
        <v>0%</v>
      </c>
      <c r="CI209">
        <f t="shared" si="17"/>
        <v>0</v>
      </c>
      <c r="CJ209">
        <f t="shared" si="3"/>
        <v>0</v>
      </c>
      <c r="CK209">
        <f t="shared" si="3"/>
        <v>0</v>
      </c>
      <c r="CL209"/>
      <c r="CM209"/>
      <c r="CN209" s="1">
        <f t="shared" si="9"/>
        <v>0</v>
      </c>
      <c r="CO209" s="21">
        <f t="shared" si="10"/>
        <v>0</v>
      </c>
      <c r="CP209" t="s">
        <v>20</v>
      </c>
      <c r="CQ209" s="304" t="str">
        <f t="shared" si="11"/>
        <v>0%</v>
      </c>
      <c r="CR209" s="304" t="str">
        <f t="shared" si="12"/>
        <v>0%</v>
      </c>
      <c r="CS209" s="304" t="str">
        <f t="shared" si="13"/>
        <v>0%</v>
      </c>
      <c r="CT209">
        <f t="shared" si="14"/>
        <v>0</v>
      </c>
      <c r="CU209">
        <f t="shared" si="15"/>
        <v>0</v>
      </c>
      <c r="CV209">
        <f t="shared" si="16"/>
        <v>0</v>
      </c>
      <c r="CZ209" s="298" t="s">
        <v>410</v>
      </c>
      <c r="DA209" s="301">
        <v>0.27</v>
      </c>
      <c r="DB209" s="301">
        <v>0</v>
      </c>
      <c r="DC209" s="301">
        <v>0</v>
      </c>
    </row>
    <row r="210" spans="81:107">
      <c r="CC210">
        <f t="shared" si="4"/>
        <v>0</v>
      </c>
      <c r="CD210" s="21">
        <f t="shared" si="5"/>
        <v>0</v>
      </c>
      <c r="CE210" t="s">
        <v>20</v>
      </c>
      <c r="CF210" s="304" t="str">
        <f t="shared" si="6"/>
        <v>0%</v>
      </c>
      <c r="CG210" s="304" t="str">
        <f t="shared" si="7"/>
        <v>0%</v>
      </c>
      <c r="CH210" s="304" t="str">
        <f t="shared" si="8"/>
        <v>0%</v>
      </c>
      <c r="CI210">
        <f t="shared" si="17"/>
        <v>0</v>
      </c>
      <c r="CJ210">
        <f t="shared" si="3"/>
        <v>0</v>
      </c>
      <c r="CK210">
        <f t="shared" si="3"/>
        <v>0</v>
      </c>
      <c r="CL210"/>
      <c r="CM210"/>
      <c r="CN210" s="1">
        <f t="shared" si="9"/>
        <v>0</v>
      </c>
      <c r="CO210" s="21">
        <f t="shared" si="10"/>
        <v>0</v>
      </c>
      <c r="CP210" t="s">
        <v>20</v>
      </c>
      <c r="CQ210" s="304" t="str">
        <f t="shared" si="11"/>
        <v>0%</v>
      </c>
      <c r="CR210" s="304" t="str">
        <f t="shared" si="12"/>
        <v>0%</v>
      </c>
      <c r="CS210" s="304" t="str">
        <f t="shared" si="13"/>
        <v>0%</v>
      </c>
      <c r="CT210">
        <f t="shared" si="14"/>
        <v>0</v>
      </c>
      <c r="CU210">
        <f t="shared" si="15"/>
        <v>0</v>
      </c>
      <c r="CV210">
        <f t="shared" si="16"/>
        <v>0</v>
      </c>
      <c r="CZ210" s="299" t="s">
        <v>411</v>
      </c>
      <c r="DA210" s="302">
        <v>0.33500000000000002</v>
      </c>
      <c r="DB210" s="301">
        <v>0</v>
      </c>
      <c r="DC210" s="301">
        <v>0</v>
      </c>
    </row>
    <row r="211" spans="81:107">
      <c r="CC211">
        <f t="shared" si="4"/>
        <v>0</v>
      </c>
      <c r="CD211" s="21">
        <f t="shared" si="5"/>
        <v>0</v>
      </c>
      <c r="CE211" t="s">
        <v>20</v>
      </c>
      <c r="CF211" s="304">
        <f t="shared" ref="CF211:CH212" si="18">+P20</f>
        <v>0</v>
      </c>
      <c r="CG211" s="304">
        <f t="shared" si="18"/>
        <v>0</v>
      </c>
      <c r="CH211" s="304">
        <f t="shared" si="18"/>
        <v>0</v>
      </c>
      <c r="CI211">
        <f t="shared" si="17"/>
        <v>0</v>
      </c>
      <c r="CJ211">
        <f t="shared" si="3"/>
        <v>0</v>
      </c>
      <c r="CK211">
        <f t="shared" si="3"/>
        <v>0</v>
      </c>
      <c r="CL211"/>
      <c r="CM211"/>
      <c r="CN211" s="1">
        <f t="shared" si="9"/>
        <v>0</v>
      </c>
      <c r="CO211" s="21">
        <f t="shared" si="10"/>
        <v>0</v>
      </c>
      <c r="CP211" t="s">
        <v>20</v>
      </c>
      <c r="CQ211" s="278">
        <f t="shared" ref="CQ211:CS212" si="19">+P20</f>
        <v>0</v>
      </c>
      <c r="CR211" s="278">
        <f t="shared" si="19"/>
        <v>0</v>
      </c>
      <c r="CS211" s="278">
        <f t="shared" si="19"/>
        <v>0</v>
      </c>
      <c r="CT211">
        <f t="shared" si="14"/>
        <v>0</v>
      </c>
      <c r="CU211">
        <f t="shared" si="15"/>
        <v>0</v>
      </c>
      <c r="CV211">
        <f t="shared" si="16"/>
        <v>0</v>
      </c>
    </row>
    <row r="212" spans="81:107">
      <c r="CC212">
        <f t="shared" si="4"/>
        <v>0</v>
      </c>
      <c r="CD212" s="21">
        <f t="shared" si="5"/>
        <v>0</v>
      </c>
      <c r="CE212" t="s">
        <v>20</v>
      </c>
      <c r="CF212" s="304">
        <f t="shared" si="18"/>
        <v>0</v>
      </c>
      <c r="CG212" s="304">
        <f t="shared" si="18"/>
        <v>0</v>
      </c>
      <c r="CH212" s="304">
        <f t="shared" si="18"/>
        <v>0</v>
      </c>
      <c r="CI212">
        <f t="shared" si="17"/>
        <v>0</v>
      </c>
      <c r="CJ212">
        <f t="shared" si="3"/>
        <v>0</v>
      </c>
      <c r="CK212">
        <f t="shared" si="3"/>
        <v>0</v>
      </c>
      <c r="CL212"/>
      <c r="CM212"/>
      <c r="CN212" s="1">
        <f t="shared" si="9"/>
        <v>0</v>
      </c>
      <c r="CO212" s="21">
        <f t="shared" si="10"/>
        <v>0</v>
      </c>
      <c r="CP212" t="s">
        <v>20</v>
      </c>
      <c r="CQ212" s="278">
        <f t="shared" si="19"/>
        <v>0</v>
      </c>
      <c r="CR212" s="278">
        <f t="shared" si="19"/>
        <v>0</v>
      </c>
      <c r="CS212" s="278">
        <f t="shared" si="19"/>
        <v>0</v>
      </c>
      <c r="CT212">
        <f t="shared" si="14"/>
        <v>0</v>
      </c>
      <c r="CU212">
        <f t="shared" si="15"/>
        <v>0</v>
      </c>
      <c r="CV212">
        <f t="shared" si="16"/>
        <v>0</v>
      </c>
    </row>
    <row r="213" spans="81:107">
      <c r="CC213" t="s">
        <v>384</v>
      </c>
      <c r="CD213" s="21">
        <f>+F14/1000</f>
        <v>15</v>
      </c>
      <c r="CE213" t="s">
        <v>2</v>
      </c>
      <c r="CF213" s="310">
        <v>6.4999999999999997E-3</v>
      </c>
      <c r="CG213" s="279">
        <v>3.0000000000000001E-3</v>
      </c>
      <c r="CH213" s="279">
        <v>6.0000000000000001E-3</v>
      </c>
      <c r="CI213">
        <f>CD213*CF213*1000*IF(CD214=1,50%,IF(CD214=2,30%,IF(CD214=3,20%,IF(CD214&gt;3,0))))</f>
        <v>48.749999999999993</v>
      </c>
      <c r="CJ213">
        <f>CD213*CG213*1000*IF(CD214=1,50%,IF(CD214=2,30%,IF(CD214=3,20%,IF(CD214&gt;3,0))))</f>
        <v>22.5</v>
      </c>
      <c r="CK213">
        <f>CD213*CH213*1000*IF(CD214=1,50%,IF(CD214=2,30%,IF(CD214=3,20%,IF(CD214&gt;3,0))))</f>
        <v>45</v>
      </c>
      <c r="CL213"/>
      <c r="CM213"/>
      <c r="CN213" t="s">
        <v>384</v>
      </c>
      <c r="CO213" s="21">
        <f>+F14/1000</f>
        <v>15</v>
      </c>
      <c r="CP213" t="s">
        <v>2</v>
      </c>
      <c r="CQ213" s="310">
        <v>6.4999999999999997E-3</v>
      </c>
      <c r="CR213" s="279">
        <v>3.0000000000000001E-3</v>
      </c>
      <c r="CS213" s="279">
        <v>6.0000000000000001E-3</v>
      </c>
      <c r="CT213">
        <f>CO213*CQ213*1000*IF(CO214=1,50%,IF(CO214=2,30%,IF(CO214=3,20%,IF(CO214&gt;3,0))))</f>
        <v>48.749999999999993</v>
      </c>
      <c r="CU213">
        <f>CO213*CR213*1000*IF(CO214=1,50%,IF(CO214=2,30%,IF(CO214=3,20%,IF(CO214&gt;3,0))))</f>
        <v>22.5</v>
      </c>
      <c r="CV213">
        <f>CO213*CS213*1000*IF(CO214=1,50%,IF(CO214=2,30%,IF(CO214=3,20%,IF(CO214&gt;3,0))))</f>
        <v>45</v>
      </c>
    </row>
    <row r="214" spans="81:107">
      <c r="CC214" t="s">
        <v>385</v>
      </c>
      <c r="CD214" s="306">
        <f>+E14</f>
        <v>1</v>
      </c>
      <c r="CE214" s="280" t="s">
        <v>386</v>
      </c>
      <c r="CF214"/>
      <c r="CG214"/>
      <c r="CH214"/>
      <c r="CI214"/>
      <c r="CJ214"/>
      <c r="CK214"/>
      <c r="CL214"/>
      <c r="CM214"/>
      <c r="CN214" t="s">
        <v>385</v>
      </c>
      <c r="CO214" s="306">
        <f>+E14</f>
        <v>1</v>
      </c>
      <c r="CP214" s="280" t="s">
        <v>386</v>
      </c>
      <c r="CQ214"/>
      <c r="CR214"/>
      <c r="CS214"/>
      <c r="CT214"/>
      <c r="CU214"/>
      <c r="CV214"/>
    </row>
    <row r="215" spans="81:107">
      <c r="CC215" t="s">
        <v>76</v>
      </c>
      <c r="CD215"/>
      <c r="CE215"/>
      <c r="CF215"/>
      <c r="CG215"/>
      <c r="CH215"/>
      <c r="CI215">
        <f>SUM(CI206:CI214)</f>
        <v>103.75</v>
      </c>
      <c r="CJ215">
        <f>SUM(CJ206:CJ214)</f>
        <v>54.5</v>
      </c>
      <c r="CK215">
        <f>SUM(CK206:CK214)</f>
        <v>77</v>
      </c>
      <c r="CL215"/>
      <c r="CM215"/>
      <c r="CN215" t="s">
        <v>76</v>
      </c>
      <c r="CO215"/>
      <c r="CP215"/>
      <c r="CQ215"/>
      <c r="CR215"/>
      <c r="CS215"/>
      <c r="CT215">
        <f>SUM(CT206:CT214)</f>
        <v>103.75</v>
      </c>
      <c r="CU215">
        <f>SUM(CU206:CU214)</f>
        <v>54.5</v>
      </c>
      <c r="CV215">
        <f>SUM(CV206:CV214)</f>
        <v>77</v>
      </c>
    </row>
    <row r="216" spans="81:107">
      <c r="CC216" s="311" t="s">
        <v>446</v>
      </c>
      <c r="CD216" s="281">
        <f>+F8/1000</f>
        <v>27</v>
      </c>
      <c r="CE216" t="s">
        <v>2</v>
      </c>
      <c r="CF216"/>
      <c r="CG216"/>
      <c r="CH216"/>
      <c r="CI216"/>
      <c r="CJ216"/>
      <c r="CK216"/>
      <c r="CL216"/>
      <c r="CM216"/>
      <c r="CN216" s="311" t="s">
        <v>446</v>
      </c>
      <c r="CO216" s="282">
        <f>+CD216</f>
        <v>27</v>
      </c>
      <c r="CP216" t="s">
        <v>2</v>
      </c>
      <c r="CQ216"/>
      <c r="CR216"/>
      <c r="CS216"/>
      <c r="CT216"/>
      <c r="CU216"/>
      <c r="CV216"/>
    </row>
    <row r="217" spans="81:107">
      <c r="CC217" s="311" t="s">
        <v>423</v>
      </c>
      <c r="CD217"/>
      <c r="CE217" t="s">
        <v>390</v>
      </c>
      <c r="CF217"/>
      <c r="CG217"/>
      <c r="CH217"/>
      <c r="CI217" s="283">
        <v>3</v>
      </c>
      <c r="CJ217" s="283">
        <v>1</v>
      </c>
      <c r="CK217" s="283">
        <v>2</v>
      </c>
      <c r="CL217"/>
      <c r="CM217"/>
      <c r="CN217" s="311" t="s">
        <v>423</v>
      </c>
      <c r="CO217"/>
      <c r="CP217" t="s">
        <v>390</v>
      </c>
      <c r="CQ217"/>
      <c r="CR217"/>
      <c r="CS217"/>
      <c r="CT217" s="283">
        <v>4.5</v>
      </c>
      <c r="CU217" s="283">
        <v>2.5</v>
      </c>
      <c r="CV217" s="283">
        <v>6</v>
      </c>
    </row>
    <row r="218" spans="81:107" ht="15" thickBot="1">
      <c r="CC218" s="311" t="s">
        <v>423</v>
      </c>
      <c r="CD218"/>
      <c r="CE218" t="s">
        <v>20</v>
      </c>
      <c r="CF218"/>
      <c r="CG218"/>
      <c r="CH218"/>
      <c r="CI218">
        <f>CD216*CI217</f>
        <v>81</v>
      </c>
      <c r="CJ218">
        <f>CD216*CJ217</f>
        <v>27</v>
      </c>
      <c r="CK218">
        <f>CD216*CK217</f>
        <v>54</v>
      </c>
      <c r="CL218"/>
      <c r="CM218"/>
      <c r="CN218" s="311" t="s">
        <v>423</v>
      </c>
      <c r="CO218"/>
      <c r="CP218" t="s">
        <v>20</v>
      </c>
      <c r="CQ218"/>
      <c r="CR218"/>
      <c r="CS218"/>
      <c r="CT218">
        <f>CO216*CT217</f>
        <v>121.5</v>
      </c>
      <c r="CU218">
        <f>CO216*CU217</f>
        <v>67.5</v>
      </c>
      <c r="CV218">
        <f>CO216*CV217</f>
        <v>162</v>
      </c>
    </row>
    <row r="219" spans="81:107" ht="16.5" thickTop="1" thickBot="1">
      <c r="CC219" s="284" t="s">
        <v>391</v>
      </c>
      <c r="CD219" s="285"/>
      <c r="CE219" s="285" t="s">
        <v>20</v>
      </c>
      <c r="CF219" s="285"/>
      <c r="CG219" s="285"/>
      <c r="CH219" s="285"/>
      <c r="CI219" s="286">
        <f>SUM(CI215:CI215)-CI218</f>
        <v>22.75</v>
      </c>
      <c r="CJ219" s="287">
        <f>CJ215-CJ218</f>
        <v>27.5</v>
      </c>
      <c r="CK219" s="288">
        <f>CK215-CK218</f>
        <v>23</v>
      </c>
      <c r="CL219"/>
      <c r="CM219"/>
      <c r="CN219" s="284" t="s">
        <v>391</v>
      </c>
      <c r="CO219" s="285"/>
      <c r="CP219" s="285" t="s">
        <v>20</v>
      </c>
      <c r="CQ219" s="285"/>
      <c r="CR219" s="285"/>
      <c r="CS219" s="285"/>
      <c r="CT219" s="285">
        <f>SUM(CT215:CT215)-CT218</f>
        <v>-17.75</v>
      </c>
      <c r="CU219" s="288">
        <f>CU215-CU218</f>
        <v>-13</v>
      </c>
      <c r="CV219" s="288">
        <f>CV215-CV218</f>
        <v>-85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303">
        <f>+Inputi!D8</f>
        <v>73.91304347826086</v>
      </c>
      <c r="CJ221" s="303">
        <f>+Inputi!E8</f>
        <v>90.168896321070235</v>
      </c>
      <c r="CK221" s="303">
        <f>+Inputi!F8</f>
        <v>42.600936454849503</v>
      </c>
      <c r="CL221"/>
      <c r="CM221"/>
      <c r="CN221" t="s">
        <v>5</v>
      </c>
      <c r="CO221"/>
      <c r="CP221"/>
      <c r="CQ221"/>
      <c r="CR221"/>
      <c r="CS221"/>
      <c r="CT221" s="303">
        <f>+Inputi!D8</f>
        <v>73.91304347826086</v>
      </c>
      <c r="CU221" s="303">
        <f>+Inputi!E8</f>
        <v>90.168896321070235</v>
      </c>
      <c r="CV221" s="303">
        <f>+Inputi!F8</f>
        <v>42.600936454849503</v>
      </c>
    </row>
    <row r="222" spans="81:107" ht="15">
      <c r="CC222" s="276" t="s">
        <v>392</v>
      </c>
      <c r="CD222" s="289">
        <f>SUMPRODUCT(CI221:CK221,CI215:CK215)</f>
        <v>15862.955217391303</v>
      </c>
      <c r="CE222"/>
      <c r="CF222"/>
      <c r="CG222"/>
      <c r="CH222"/>
      <c r="CI222"/>
      <c r="CJ222"/>
      <c r="CK222"/>
      <c r="CL222"/>
      <c r="CM222"/>
      <c r="CN222" s="276" t="s">
        <v>392</v>
      </c>
      <c r="CO222" s="289">
        <f>SUMPRODUCT(CT221:CV221,CT215:CV215)</f>
        <v>15862.955217391303</v>
      </c>
      <c r="CP222"/>
      <c r="CQ222"/>
      <c r="CR222"/>
      <c r="CS222"/>
      <c r="CT222"/>
      <c r="CU222"/>
      <c r="CV222"/>
    </row>
    <row r="223" spans="81:107" ht="15.75">
      <c r="CC223" s="290" t="s">
        <v>393</v>
      </c>
      <c r="CD223" s="291">
        <f>CI218*CI221+CJ218*CJ221+CK218*CK221</f>
        <v>10721.9672909699</v>
      </c>
      <c r="CE223"/>
      <c r="CF223"/>
      <c r="CG223"/>
      <c r="CH223"/>
      <c r="CI223"/>
      <c r="CJ223"/>
      <c r="CK223"/>
      <c r="CL223"/>
      <c r="CM223"/>
      <c r="CN223" s="290" t="s">
        <v>393</v>
      </c>
      <c r="CO223" s="291">
        <f>CT218*CT221+CU218*CU221+CV218*CV221</f>
        <v>21968.186989966554</v>
      </c>
      <c r="CP223"/>
      <c r="CQ223"/>
      <c r="CR223"/>
      <c r="CS223"/>
      <c r="CT223"/>
      <c r="CU223"/>
      <c r="CV223"/>
    </row>
    <row r="224" spans="81:107" ht="30">
      <c r="CC224" s="309" t="s">
        <v>394</v>
      </c>
      <c r="CD224" s="292">
        <f>CJ219*CJ221+CK219*CK221</f>
        <v>3459.4661872909701</v>
      </c>
      <c r="CE224"/>
      <c r="CF224"/>
      <c r="CG224"/>
      <c r="CH224"/>
      <c r="CI224"/>
      <c r="CJ224"/>
      <c r="CK224"/>
      <c r="CL224"/>
      <c r="CM224"/>
      <c r="CN224" s="309" t="s">
        <v>394</v>
      </c>
      <c r="CO224" s="292">
        <f>CU219*CU221+CV219*CV221</f>
        <v>-4793.2752508361209</v>
      </c>
      <c r="CP224"/>
      <c r="CQ224"/>
      <c r="CR224"/>
      <c r="CS224"/>
      <c r="CT224"/>
      <c r="CU224"/>
      <c r="CV224"/>
    </row>
  </sheetData>
  <sheetProtection password="B310" sheet="1" objects="1" scenarios="1"/>
  <protectedRanges>
    <protectedRange sqref="P20:R21" name="Range11"/>
    <protectedRange sqref="D101:D102" name="Range8"/>
    <protectedRange sqref="D98:D99" name="Range7"/>
    <protectedRange sqref="F96:G96" name="Range6"/>
    <protectedRange sqref="I96:J96" name="Range5"/>
    <protectedRange sqref="L4:L46" name="Range4"/>
    <protectedRange sqref="D12:I44" name="Range3"/>
    <protectedRange sqref="F8:I9" name="Range2"/>
    <protectedRange sqref="F4" name="Range1"/>
    <protectedRange sqref="C9" name="Range10"/>
  </protectedRanges>
  <conditionalFormatting sqref="P5">
    <cfRule type="cellIs" dxfId="5" priority="3" operator="lessThan">
      <formula>0</formula>
    </cfRule>
  </conditionalFormatting>
  <conditionalFormatting sqref="Q5">
    <cfRule type="cellIs" dxfId="4" priority="2" operator="lessThan">
      <formula>0</formula>
    </cfRule>
  </conditionalFormatting>
  <conditionalFormatting sqref="R5">
    <cfRule type="cellIs" dxfId="3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verticalDpi="0" r:id="rId1"/>
  <rowBreaks count="1" manualBreakCount="1">
    <brk id="48" max="9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DC224"/>
  <sheetViews>
    <sheetView zoomScale="120" zoomScaleNormal="120" zoomScaleSheetLayoutView="100" workbookViewId="0">
      <selection activeCell="E17" sqref="E17"/>
    </sheetView>
  </sheetViews>
  <sheetFormatPr defaultRowHeight="14.25"/>
  <cols>
    <col min="1" max="1" width="2.7109375" style="3" customWidth="1"/>
    <col min="2" max="2" width="3.5703125" style="3" bestFit="1" customWidth="1"/>
    <col min="3" max="3" width="33.140625" style="3" customWidth="1"/>
    <col min="4" max="4" width="8.140625" style="3" customWidth="1"/>
    <col min="5" max="5" width="9.140625" style="3" bestFit="1" customWidth="1"/>
    <col min="6" max="6" width="10.42578125" style="3" bestFit="1" customWidth="1"/>
    <col min="7" max="7" width="10.140625" style="3" customWidth="1"/>
    <col min="8" max="8" width="8.85546875" style="3" bestFit="1" customWidth="1"/>
    <col min="9" max="9" width="13.140625" style="3" customWidth="1"/>
    <col min="10" max="10" width="2.42578125" style="3" customWidth="1"/>
    <col min="11" max="11" width="11.85546875" style="3" customWidth="1"/>
    <col min="12" max="13" width="2.42578125" style="3" customWidth="1"/>
    <col min="14" max="14" width="20.7109375" style="3" customWidth="1"/>
    <col min="15" max="17" width="9.140625" style="3"/>
    <col min="18" max="18" width="1.140625" style="3" customWidth="1"/>
    <col min="19" max="19" width="19.85546875" style="3" customWidth="1"/>
    <col min="20" max="80" width="9.140625" style="3"/>
    <col min="81" max="81" width="19.7109375" style="3" customWidth="1"/>
    <col min="82" max="89" width="9.140625" style="3"/>
    <col min="90" max="91" width="2.7109375" style="3" customWidth="1"/>
    <col min="92" max="92" width="19.7109375" style="3" customWidth="1"/>
    <col min="93" max="100" width="9.140625" style="3"/>
    <col min="101" max="103" width="2.28515625" style="3" customWidth="1"/>
    <col min="104" max="104" width="12.5703125" style="3" bestFit="1" customWidth="1"/>
    <col min="105" max="16384" width="9.140625" style="3"/>
  </cols>
  <sheetData>
    <row r="1" spans="2:17" ht="23.25">
      <c r="C1" s="82" t="s">
        <v>470</v>
      </c>
      <c r="N1" s="331" t="s">
        <v>426</v>
      </c>
      <c r="O1" s="331"/>
      <c r="P1" s="331"/>
      <c r="Q1" s="331"/>
    </row>
    <row r="2" spans="2:17">
      <c r="N2" s="331" t="s">
        <v>428</v>
      </c>
      <c r="O2" s="331"/>
      <c r="P2" s="331"/>
      <c r="Q2" s="331"/>
    </row>
    <row r="3" spans="2:17" ht="15.75" thickBot="1">
      <c r="C3" s="89" t="s">
        <v>162</v>
      </c>
      <c r="D3" s="89"/>
      <c r="E3" s="90"/>
      <c r="F3" s="90"/>
      <c r="K3" s="100" t="s">
        <v>0</v>
      </c>
      <c r="N3" s="317"/>
      <c r="O3" s="316" t="s">
        <v>381</v>
      </c>
      <c r="P3" s="316" t="s">
        <v>415</v>
      </c>
      <c r="Q3" s="316" t="s">
        <v>416</v>
      </c>
    </row>
    <row r="4" spans="2:17" ht="15.75" thickBot="1">
      <c r="C4" s="90" t="s">
        <v>137</v>
      </c>
      <c r="D4" s="90"/>
      <c r="E4" s="222">
        <v>2018</v>
      </c>
      <c r="G4" s="4"/>
      <c r="H4" s="4"/>
      <c r="I4" s="4"/>
      <c r="K4" s="26"/>
      <c r="N4" s="318" t="s">
        <v>427</v>
      </c>
      <c r="O4" s="319">
        <f t="shared" ref="O4:Q5" si="0">+CI218</f>
        <v>130</v>
      </c>
      <c r="P4" s="319">
        <f t="shared" si="0"/>
        <v>40</v>
      </c>
      <c r="Q4" s="319">
        <f t="shared" si="0"/>
        <v>94</v>
      </c>
    </row>
    <row r="5" spans="2:17" ht="15.75" thickBot="1">
      <c r="C5" s="223" t="s">
        <v>178</v>
      </c>
      <c r="D5" s="223"/>
      <c r="E5" s="224">
        <v>2500</v>
      </c>
      <c r="F5" s="3" t="s">
        <v>20</v>
      </c>
      <c r="G5" s="4"/>
      <c r="H5" s="4"/>
      <c r="I5" s="4"/>
      <c r="K5" s="26"/>
      <c r="N5" s="339" t="s">
        <v>429</v>
      </c>
      <c r="O5" s="338">
        <f t="shared" si="0"/>
        <v>3</v>
      </c>
      <c r="P5" s="338">
        <f t="shared" si="0"/>
        <v>8</v>
      </c>
      <c r="Q5" s="338">
        <f t="shared" si="0"/>
        <v>2</v>
      </c>
    </row>
    <row r="6" spans="2:17" ht="15.75" thickBot="1">
      <c r="C6" s="223" t="s">
        <v>179</v>
      </c>
      <c r="D6" s="223"/>
      <c r="E6" s="224">
        <v>4</v>
      </c>
      <c r="G6" s="4"/>
      <c r="H6" s="4"/>
      <c r="I6" s="4"/>
      <c r="K6" s="26"/>
    </row>
    <row r="7" spans="2:17" ht="6.75" customHeight="1">
      <c r="K7" s="26"/>
    </row>
    <row r="8" spans="2:17" ht="45">
      <c r="D8" s="150" t="s">
        <v>150</v>
      </c>
      <c r="E8" s="123" t="s">
        <v>3</v>
      </c>
      <c r="F8" s="125" t="s">
        <v>4</v>
      </c>
      <c r="G8" s="123" t="s">
        <v>5</v>
      </c>
      <c r="H8" s="125" t="s">
        <v>4</v>
      </c>
      <c r="I8" s="124" t="s">
        <v>357</v>
      </c>
      <c r="K8" s="26"/>
    </row>
    <row r="9" spans="2:17" ht="15.75" thickBot="1">
      <c r="B9" s="47" t="s">
        <v>6</v>
      </c>
      <c r="C9" s="129" t="s">
        <v>7</v>
      </c>
      <c r="D9" s="129"/>
      <c r="E9" s="4"/>
      <c r="F9" s="4"/>
      <c r="G9" s="4"/>
      <c r="H9" s="4"/>
      <c r="I9" s="4"/>
      <c r="K9" s="27"/>
    </row>
    <row r="10" spans="2:17" ht="15">
      <c r="B10" s="5" t="s">
        <v>8</v>
      </c>
      <c r="C10" s="36" t="s">
        <v>9</v>
      </c>
      <c r="D10" s="101">
        <v>0.2</v>
      </c>
      <c r="E10" s="83">
        <v>5000</v>
      </c>
      <c r="F10" s="6" t="s">
        <v>20</v>
      </c>
      <c r="G10" s="149">
        <v>16</v>
      </c>
      <c r="H10" s="6" t="s">
        <v>21</v>
      </c>
      <c r="I10" s="38">
        <f>D10*E10*G10</f>
        <v>16000</v>
      </c>
      <c r="K10" s="26"/>
    </row>
    <row r="11" spans="2:17" ht="15">
      <c r="B11" s="5" t="s">
        <v>11</v>
      </c>
      <c r="C11" s="29" t="s">
        <v>12</v>
      </c>
      <c r="D11" s="102">
        <v>0.8</v>
      </c>
      <c r="E11" s="51">
        <f>E5*E6</f>
        <v>10000</v>
      </c>
      <c r="F11" s="3" t="s">
        <v>20</v>
      </c>
      <c r="G11" s="99">
        <v>16</v>
      </c>
      <c r="H11" s="3" t="s">
        <v>21</v>
      </c>
      <c r="I11" s="49">
        <f>D11*E11*G11</f>
        <v>128000</v>
      </c>
      <c r="K11" s="26"/>
    </row>
    <row r="12" spans="2:17" ht="15">
      <c r="B12" s="130"/>
      <c r="C12" s="131" t="s">
        <v>46</v>
      </c>
      <c r="D12" s="130"/>
      <c r="E12" s="132"/>
      <c r="F12" s="133"/>
      <c r="G12" s="132"/>
      <c r="H12" s="133"/>
      <c r="I12" s="141">
        <f>SUM(I10:I11)</f>
        <v>144000</v>
      </c>
      <c r="K12" s="26"/>
    </row>
    <row r="13" spans="2:17" ht="15">
      <c r="B13" s="47" t="s">
        <v>13</v>
      </c>
      <c r="C13" s="29" t="s">
        <v>14</v>
      </c>
      <c r="D13" s="103"/>
      <c r="E13" s="8"/>
      <c r="G13" s="8"/>
      <c r="I13" s="49"/>
      <c r="K13" s="26"/>
    </row>
    <row r="14" spans="2:17">
      <c r="B14" s="5" t="s">
        <v>8</v>
      </c>
      <c r="C14" s="4" t="s">
        <v>15</v>
      </c>
      <c r="D14" s="104">
        <v>0.2</v>
      </c>
      <c r="E14" s="126">
        <v>21</v>
      </c>
      <c r="F14" s="4" t="s">
        <v>16</v>
      </c>
      <c r="G14" s="51">
        <v>600</v>
      </c>
      <c r="H14" s="4" t="s">
        <v>17</v>
      </c>
      <c r="I14" s="49">
        <f t="shared" ref="I14:I48" si="1">D14*E14*G14</f>
        <v>2520</v>
      </c>
      <c r="K14" s="145"/>
    </row>
    <row r="15" spans="2:17">
      <c r="B15" s="10" t="s">
        <v>11</v>
      </c>
      <c r="C15" s="4" t="s">
        <v>18</v>
      </c>
      <c r="D15" s="104"/>
      <c r="E15" s="9"/>
      <c r="F15" s="4"/>
      <c r="G15" s="9"/>
      <c r="H15" s="4"/>
      <c r="I15" s="49"/>
      <c r="K15" s="145"/>
    </row>
    <row r="16" spans="2:17">
      <c r="B16" s="10"/>
      <c r="C16" s="254" t="s">
        <v>19</v>
      </c>
      <c r="D16" s="102">
        <v>0.2</v>
      </c>
      <c r="E16" s="51">
        <v>40000</v>
      </c>
      <c r="F16" s="3" t="s">
        <v>20</v>
      </c>
      <c r="G16" s="99">
        <v>1.5</v>
      </c>
      <c r="H16" s="3" t="s">
        <v>21</v>
      </c>
      <c r="I16" s="49">
        <f t="shared" si="1"/>
        <v>12000</v>
      </c>
      <c r="K16" s="26" t="s">
        <v>458</v>
      </c>
    </row>
    <row r="17" spans="2:17">
      <c r="B17" s="10"/>
      <c r="C17" s="254" t="s">
        <v>407</v>
      </c>
      <c r="D17" s="10">
        <v>1</v>
      </c>
      <c r="E17" s="51">
        <v>200</v>
      </c>
      <c r="F17" s="3" t="s">
        <v>20</v>
      </c>
      <c r="G17" s="51">
        <v>40</v>
      </c>
      <c r="H17" s="3" t="s">
        <v>21</v>
      </c>
      <c r="I17" s="49">
        <f t="shared" si="1"/>
        <v>8000</v>
      </c>
      <c r="K17" s="26"/>
    </row>
    <row r="18" spans="2:17">
      <c r="B18" s="10"/>
      <c r="C18" s="254" t="s">
        <v>409</v>
      </c>
      <c r="D18" s="10">
        <v>1</v>
      </c>
      <c r="E18" s="51">
        <v>150</v>
      </c>
      <c r="F18" s="3" t="s">
        <v>20</v>
      </c>
      <c r="G18" s="51">
        <v>34</v>
      </c>
      <c r="H18" s="3" t="s">
        <v>21</v>
      </c>
      <c r="I18" s="49">
        <f t="shared" ref="I18:I24" si="2">D18*E18*G18</f>
        <v>5100</v>
      </c>
      <c r="K18" s="26"/>
    </row>
    <row r="19" spans="2:17">
      <c r="B19" s="10"/>
      <c r="C19" s="254"/>
      <c r="D19" s="10">
        <v>1</v>
      </c>
      <c r="E19" s="51"/>
      <c r="F19" s="3" t="s">
        <v>20</v>
      </c>
      <c r="G19" s="51"/>
      <c r="H19" s="3" t="s">
        <v>21</v>
      </c>
      <c r="I19" s="49">
        <f t="shared" si="2"/>
        <v>0</v>
      </c>
      <c r="K19" s="26"/>
    </row>
    <row r="20" spans="2:17">
      <c r="B20" s="10"/>
      <c r="C20" s="254"/>
      <c r="D20" s="10">
        <v>1</v>
      </c>
      <c r="E20" s="51"/>
      <c r="F20" s="3" t="s">
        <v>20</v>
      </c>
      <c r="G20" s="51"/>
      <c r="H20" s="3" t="s">
        <v>21</v>
      </c>
      <c r="I20" s="49">
        <f t="shared" si="2"/>
        <v>0</v>
      </c>
      <c r="K20" s="26"/>
    </row>
    <row r="21" spans="2:17" ht="15">
      <c r="B21" s="10"/>
      <c r="C21" s="254"/>
      <c r="D21" s="10">
        <v>1</v>
      </c>
      <c r="E21" s="51"/>
      <c r="F21" s="3" t="s">
        <v>20</v>
      </c>
      <c r="G21" s="51"/>
      <c r="H21" s="3" t="s">
        <v>21</v>
      </c>
      <c r="I21" s="49">
        <f t="shared" si="2"/>
        <v>0</v>
      </c>
      <c r="K21" s="26"/>
      <c r="O21" s="307" t="s">
        <v>381</v>
      </c>
      <c r="P21" s="307" t="s">
        <v>415</v>
      </c>
      <c r="Q21" s="307" t="s">
        <v>416</v>
      </c>
    </row>
    <row r="22" spans="2:17">
      <c r="B22" s="10"/>
      <c r="C22" s="322"/>
      <c r="D22" s="10">
        <v>1</v>
      </c>
      <c r="E22" s="51"/>
      <c r="F22" s="3" t="s">
        <v>20</v>
      </c>
      <c r="G22" s="51"/>
      <c r="H22" s="3" t="s">
        <v>21</v>
      </c>
      <c r="I22" s="49">
        <f t="shared" si="2"/>
        <v>0</v>
      </c>
      <c r="K22" s="321" t="s">
        <v>430</v>
      </c>
      <c r="O22" s="308">
        <v>0</v>
      </c>
      <c r="P22" s="308">
        <v>0</v>
      </c>
      <c r="Q22" s="308">
        <v>0</v>
      </c>
    </row>
    <row r="23" spans="2:17">
      <c r="B23" s="10"/>
      <c r="C23" s="322"/>
      <c r="D23" s="10">
        <v>1</v>
      </c>
      <c r="E23" s="51"/>
      <c r="F23" s="3" t="s">
        <v>20</v>
      </c>
      <c r="G23" s="51"/>
      <c r="H23" s="3" t="s">
        <v>21</v>
      </c>
      <c r="I23" s="49">
        <f t="shared" si="2"/>
        <v>0</v>
      </c>
      <c r="K23" s="321" t="s">
        <v>430</v>
      </c>
      <c r="O23" s="308">
        <v>0</v>
      </c>
      <c r="P23" s="308">
        <v>0</v>
      </c>
      <c r="Q23" s="308">
        <v>0</v>
      </c>
    </row>
    <row r="24" spans="2:17">
      <c r="B24" s="10" t="s">
        <v>22</v>
      </c>
      <c r="C24" s="17" t="s">
        <v>23</v>
      </c>
      <c r="D24" s="10"/>
      <c r="E24" s="8"/>
      <c r="G24" s="8"/>
      <c r="H24" s="3" t="s">
        <v>21</v>
      </c>
      <c r="I24" s="49">
        <f t="shared" si="2"/>
        <v>0</v>
      </c>
      <c r="K24" s="26"/>
    </row>
    <row r="25" spans="2:17">
      <c r="B25" s="10"/>
      <c r="C25" s="254" t="s">
        <v>165</v>
      </c>
      <c r="D25" s="10">
        <v>1</v>
      </c>
      <c r="E25" s="51">
        <v>3</v>
      </c>
      <c r="F25" s="3" t="s">
        <v>24</v>
      </c>
      <c r="G25" s="51">
        <v>1270</v>
      </c>
      <c r="H25" s="3" t="s">
        <v>25</v>
      </c>
      <c r="I25" s="49">
        <f t="shared" si="1"/>
        <v>3810</v>
      </c>
      <c r="K25" s="26"/>
    </row>
    <row r="26" spans="2:17">
      <c r="B26" s="10"/>
      <c r="C26" s="254" t="s">
        <v>166</v>
      </c>
      <c r="D26" s="10">
        <v>1</v>
      </c>
      <c r="E26" s="99">
        <v>1.2</v>
      </c>
      <c r="F26" s="3" t="s">
        <v>24</v>
      </c>
      <c r="G26" s="51">
        <v>3000</v>
      </c>
      <c r="H26" s="3" t="s">
        <v>25</v>
      </c>
      <c r="I26" s="49">
        <f t="shared" si="1"/>
        <v>3600</v>
      </c>
      <c r="K26" s="26"/>
    </row>
    <row r="27" spans="2:17">
      <c r="B27" s="10"/>
      <c r="C27" s="254" t="s">
        <v>167</v>
      </c>
      <c r="D27" s="10">
        <v>2</v>
      </c>
      <c r="E27" s="51">
        <v>1</v>
      </c>
      <c r="F27" s="3" t="s">
        <v>24</v>
      </c>
      <c r="G27" s="51">
        <v>1500</v>
      </c>
      <c r="H27" s="3" t="s">
        <v>25</v>
      </c>
      <c r="I27" s="49">
        <f t="shared" si="1"/>
        <v>3000</v>
      </c>
      <c r="K27" s="26"/>
    </row>
    <row r="28" spans="2:17">
      <c r="B28" s="10"/>
      <c r="C28" s="254" t="s">
        <v>168</v>
      </c>
      <c r="D28" s="10">
        <v>1</v>
      </c>
      <c r="E28" s="51">
        <v>2</v>
      </c>
      <c r="F28" s="3" t="s">
        <v>24</v>
      </c>
      <c r="G28" s="51">
        <v>600</v>
      </c>
      <c r="H28" s="3" t="s">
        <v>25</v>
      </c>
      <c r="I28" s="49">
        <f t="shared" si="1"/>
        <v>1200</v>
      </c>
      <c r="K28" s="26"/>
    </row>
    <row r="29" spans="2:17">
      <c r="B29" s="10"/>
      <c r="C29" s="254" t="s">
        <v>163</v>
      </c>
      <c r="D29" s="10">
        <v>1</v>
      </c>
      <c r="E29" s="51"/>
      <c r="F29" s="3" t="s">
        <v>24</v>
      </c>
      <c r="G29" s="51"/>
      <c r="H29" s="3" t="s">
        <v>25</v>
      </c>
      <c r="I29" s="49">
        <f t="shared" si="1"/>
        <v>0</v>
      </c>
      <c r="K29" s="26"/>
    </row>
    <row r="30" spans="2:17">
      <c r="B30" s="10"/>
      <c r="C30" s="254" t="s">
        <v>164</v>
      </c>
      <c r="D30" s="10">
        <v>1</v>
      </c>
      <c r="E30" s="51"/>
      <c r="F30" s="3" t="s">
        <v>24</v>
      </c>
      <c r="G30" s="51"/>
      <c r="H30" s="3" t="s">
        <v>25</v>
      </c>
      <c r="I30" s="49">
        <f t="shared" si="1"/>
        <v>0</v>
      </c>
      <c r="K30" s="26"/>
    </row>
    <row r="31" spans="2:17">
      <c r="B31" s="10" t="s">
        <v>30</v>
      </c>
      <c r="C31" s="17" t="s">
        <v>52</v>
      </c>
      <c r="D31" s="10"/>
      <c r="E31" s="8"/>
      <c r="G31" s="8"/>
      <c r="I31" s="49"/>
      <c r="K31" s="26"/>
    </row>
    <row r="32" spans="2:17">
      <c r="B32" s="10"/>
      <c r="C32" s="255" t="s">
        <v>56</v>
      </c>
      <c r="D32" s="10">
        <v>3</v>
      </c>
      <c r="E32" s="51">
        <v>15</v>
      </c>
      <c r="F32" s="3" t="s">
        <v>33</v>
      </c>
      <c r="G32" s="51">
        <v>145</v>
      </c>
      <c r="H32" s="3" t="s">
        <v>34</v>
      </c>
      <c r="I32" s="49">
        <f t="shared" si="1"/>
        <v>6525</v>
      </c>
      <c r="K32" s="26"/>
    </row>
    <row r="33" spans="2:11">
      <c r="B33" s="10" t="s">
        <v>35</v>
      </c>
      <c r="C33" s="106" t="s">
        <v>31</v>
      </c>
      <c r="D33" s="107"/>
      <c r="E33" s="8"/>
      <c r="G33" s="8"/>
      <c r="I33" s="49"/>
      <c r="K33" s="26"/>
    </row>
    <row r="34" spans="2:11">
      <c r="B34" s="105"/>
      <c r="C34" s="255" t="s">
        <v>32</v>
      </c>
      <c r="D34" s="108">
        <v>0.2</v>
      </c>
      <c r="E34" s="51">
        <v>60</v>
      </c>
      <c r="F34" s="3" t="s">
        <v>33</v>
      </c>
      <c r="G34" s="51">
        <f>Inputi!G11</f>
        <v>145</v>
      </c>
      <c r="H34" s="3" t="s">
        <v>34</v>
      </c>
      <c r="I34" s="49">
        <f t="shared" si="1"/>
        <v>1740</v>
      </c>
      <c r="K34" s="26"/>
    </row>
    <row r="35" spans="2:11" ht="42.75">
      <c r="B35" s="105"/>
      <c r="C35" s="257" t="s">
        <v>169</v>
      </c>
      <c r="D35" s="107">
        <v>1</v>
      </c>
      <c r="E35" s="51">
        <v>55</v>
      </c>
      <c r="F35" s="3" t="s">
        <v>33</v>
      </c>
      <c r="G35" s="51">
        <f>Inputi!G11</f>
        <v>145</v>
      </c>
      <c r="H35" s="3" t="s">
        <v>34</v>
      </c>
      <c r="I35" s="49">
        <f t="shared" si="1"/>
        <v>7975</v>
      </c>
      <c r="K35" s="26"/>
    </row>
    <row r="36" spans="2:11">
      <c r="B36" s="10" t="s">
        <v>40</v>
      </c>
      <c r="C36" s="109" t="s">
        <v>55</v>
      </c>
      <c r="D36" s="107"/>
      <c r="E36" s="51">
        <v>1</v>
      </c>
      <c r="F36" s="3" t="s">
        <v>1</v>
      </c>
      <c r="G36" s="51">
        <f>Inputi!F43*E35</f>
        <v>3639.166666666667</v>
      </c>
      <c r="H36" s="3" t="s">
        <v>37</v>
      </c>
      <c r="I36" s="49">
        <f t="shared" si="1"/>
        <v>0</v>
      </c>
      <c r="K36" s="26"/>
    </row>
    <row r="37" spans="2:11">
      <c r="B37" s="10" t="s">
        <v>60</v>
      </c>
      <c r="C37" s="17" t="s">
        <v>58</v>
      </c>
      <c r="D37" s="10"/>
      <c r="E37" s="8"/>
      <c r="G37" s="8"/>
      <c r="I37" s="49"/>
      <c r="K37" s="26" t="s">
        <v>176</v>
      </c>
    </row>
    <row r="38" spans="2:11">
      <c r="B38" s="10"/>
      <c r="C38" s="255" t="s">
        <v>36</v>
      </c>
      <c r="D38" s="102">
        <v>0.2</v>
      </c>
      <c r="E38" s="51">
        <v>1</v>
      </c>
      <c r="F38" s="3" t="s">
        <v>1</v>
      </c>
      <c r="G38" s="51">
        <v>16250</v>
      </c>
      <c r="H38" s="3" t="s">
        <v>37</v>
      </c>
      <c r="I38" s="49">
        <f t="shared" si="1"/>
        <v>3250</v>
      </c>
      <c r="K38" s="26" t="s">
        <v>177</v>
      </c>
    </row>
    <row r="39" spans="2:11">
      <c r="B39" s="10"/>
      <c r="C39" s="255" t="s">
        <v>38</v>
      </c>
      <c r="D39" s="102">
        <v>0.2</v>
      </c>
      <c r="E39" s="51">
        <v>1</v>
      </c>
      <c r="F39" s="3" t="s">
        <v>1</v>
      </c>
      <c r="G39" s="51">
        <v>4150</v>
      </c>
      <c r="H39" s="3" t="s">
        <v>37</v>
      </c>
      <c r="I39" s="49">
        <f t="shared" si="1"/>
        <v>830</v>
      </c>
      <c r="K39" s="26"/>
    </row>
    <row r="40" spans="2:11">
      <c r="B40" s="10"/>
      <c r="C40" s="255" t="s">
        <v>44</v>
      </c>
      <c r="D40" s="39">
        <v>4</v>
      </c>
      <c r="E40" s="51"/>
      <c r="F40" s="3" t="s">
        <v>1</v>
      </c>
      <c r="G40" s="51"/>
      <c r="H40" s="3" t="s">
        <v>37</v>
      </c>
      <c r="I40" s="49">
        <f t="shared" si="1"/>
        <v>0</v>
      </c>
      <c r="K40" s="26"/>
    </row>
    <row r="41" spans="2:11">
      <c r="B41" s="10"/>
      <c r="C41" s="255" t="s">
        <v>45</v>
      </c>
      <c r="D41" s="39">
        <v>4</v>
      </c>
      <c r="E41" s="51"/>
      <c r="F41" s="3" t="s">
        <v>1</v>
      </c>
      <c r="G41" s="51"/>
      <c r="H41" s="3" t="s">
        <v>37</v>
      </c>
      <c r="I41" s="49">
        <f t="shared" si="1"/>
        <v>0</v>
      </c>
      <c r="K41" s="26"/>
    </row>
    <row r="42" spans="2:11">
      <c r="B42" s="10"/>
      <c r="C42" s="255" t="s">
        <v>39</v>
      </c>
      <c r="D42" s="10">
        <v>4</v>
      </c>
      <c r="E42" s="51">
        <v>200</v>
      </c>
      <c r="F42" s="3" t="s">
        <v>174</v>
      </c>
      <c r="G42" s="51">
        <v>25</v>
      </c>
      <c r="H42" s="3" t="s">
        <v>170</v>
      </c>
      <c r="I42" s="49">
        <f t="shared" si="1"/>
        <v>20000</v>
      </c>
      <c r="K42" s="26" t="s">
        <v>173</v>
      </c>
    </row>
    <row r="43" spans="2:11">
      <c r="B43" s="10"/>
      <c r="C43" s="255"/>
      <c r="D43" s="10">
        <v>1</v>
      </c>
      <c r="E43" s="51"/>
      <c r="F43" s="3" t="s">
        <v>1</v>
      </c>
      <c r="G43" s="51"/>
      <c r="H43" s="3" t="s">
        <v>37</v>
      </c>
      <c r="I43" s="49">
        <f t="shared" si="1"/>
        <v>0</v>
      </c>
      <c r="K43" s="26"/>
    </row>
    <row r="44" spans="2:11">
      <c r="B44" s="10" t="s">
        <v>62</v>
      </c>
      <c r="C44" s="3" t="s">
        <v>57</v>
      </c>
      <c r="D44" s="10">
        <v>1</v>
      </c>
      <c r="E44" s="51">
        <v>25</v>
      </c>
      <c r="F44" s="3" t="s">
        <v>100</v>
      </c>
      <c r="G44" s="51">
        <v>200</v>
      </c>
      <c r="H44" s="3" t="s">
        <v>105</v>
      </c>
      <c r="I44" s="49">
        <f t="shared" si="1"/>
        <v>5000</v>
      </c>
      <c r="K44" s="26"/>
    </row>
    <row r="45" spans="2:11">
      <c r="B45" s="10" t="s">
        <v>67</v>
      </c>
      <c r="C45" s="17" t="s">
        <v>271</v>
      </c>
      <c r="I45" s="49"/>
      <c r="K45" s="26"/>
    </row>
    <row r="46" spans="2:11">
      <c r="B46" s="10"/>
      <c r="C46" s="254" t="s">
        <v>172</v>
      </c>
      <c r="D46" s="10">
        <v>1</v>
      </c>
      <c r="E46" s="51">
        <f>+E11</f>
        <v>10000</v>
      </c>
      <c r="F46" s="3" t="s">
        <v>96</v>
      </c>
      <c r="G46" s="99">
        <v>1</v>
      </c>
      <c r="H46" s="3" t="s">
        <v>21</v>
      </c>
      <c r="I46" s="49">
        <f>D46*E46*G46</f>
        <v>10000</v>
      </c>
      <c r="K46" s="26"/>
    </row>
    <row r="47" spans="2:11">
      <c r="B47" s="10"/>
      <c r="C47" s="256"/>
      <c r="D47" s="210">
        <v>1</v>
      </c>
      <c r="E47" s="147"/>
      <c r="F47" s="16" t="s">
        <v>96</v>
      </c>
      <c r="G47" s="212"/>
      <c r="H47" s="16" t="s">
        <v>21</v>
      </c>
      <c r="I47" s="211">
        <f t="shared" si="1"/>
        <v>0</v>
      </c>
      <c r="K47" s="26"/>
    </row>
    <row r="48" spans="2:11">
      <c r="B48" s="3" t="s">
        <v>68</v>
      </c>
      <c r="C48" s="67" t="s">
        <v>374</v>
      </c>
      <c r="D48" s="65">
        <v>1</v>
      </c>
      <c r="E48" s="209">
        <v>1</v>
      </c>
      <c r="F48" s="4" t="s">
        <v>1</v>
      </c>
      <c r="G48" s="51">
        <v>450</v>
      </c>
      <c r="H48" s="3" t="s">
        <v>37</v>
      </c>
      <c r="I48" s="211">
        <f t="shared" si="1"/>
        <v>450</v>
      </c>
      <c r="K48" s="26"/>
    </row>
    <row r="49" spans="2:9" ht="15.75" thickBot="1">
      <c r="C49" s="134" t="s">
        <v>41</v>
      </c>
      <c r="D49" s="135"/>
      <c r="E49" s="133"/>
      <c r="F49" s="133"/>
      <c r="G49" s="133"/>
      <c r="H49" s="133"/>
      <c r="I49" s="141">
        <f>SUM(I14:I48)</f>
        <v>95000</v>
      </c>
    </row>
    <row r="50" spans="2:9" ht="15.75" thickBot="1">
      <c r="C50" s="193" t="s">
        <v>42</v>
      </c>
      <c r="D50" s="194"/>
      <c r="E50" s="213"/>
      <c r="F50" s="213"/>
      <c r="G50" s="213"/>
      <c r="H50" s="213"/>
      <c r="I50" s="195">
        <f>I12-I49</f>
        <v>49000</v>
      </c>
    </row>
    <row r="51" spans="2:9" ht="16.5" thickTop="1" thickBot="1">
      <c r="B51" s="70" t="s">
        <v>403</v>
      </c>
      <c r="C51" s="71" t="s">
        <v>418</v>
      </c>
      <c r="D51" s="71"/>
      <c r="E51" s="72"/>
      <c r="F51" s="72"/>
      <c r="G51" s="72"/>
      <c r="H51" s="73"/>
      <c r="I51" s="28">
        <f>I12-I49+CD224</f>
        <v>49806.553043478263</v>
      </c>
    </row>
    <row r="52" spans="2:9" ht="15" thickTop="1">
      <c r="B52" s="10"/>
    </row>
    <row r="53" spans="2:9" ht="15.75" thickBot="1">
      <c r="B53" s="10"/>
      <c r="C53" s="89" t="s">
        <v>175</v>
      </c>
      <c r="D53" s="89"/>
      <c r="E53" s="89"/>
      <c r="F53" s="90"/>
    </row>
    <row r="54" spans="2:9" ht="15" thickBot="1">
      <c r="B54" s="10"/>
    </row>
    <row r="55" spans="2:9" ht="15.75" thickTop="1">
      <c r="B55" s="137"/>
      <c r="C55" s="192" t="s">
        <v>7</v>
      </c>
      <c r="D55" s="192"/>
      <c r="E55" s="76" t="s">
        <v>107</v>
      </c>
    </row>
    <row r="56" spans="2:9">
      <c r="B56" s="138"/>
      <c r="C56" s="53" t="s">
        <v>9</v>
      </c>
      <c r="E56" s="8">
        <f>+I10</f>
        <v>16000</v>
      </c>
    </row>
    <row r="57" spans="2:9" ht="15" thickBot="1">
      <c r="B57" s="138"/>
      <c r="C57" s="54" t="s">
        <v>12</v>
      </c>
      <c r="E57" s="8">
        <f>+I11</f>
        <v>128000</v>
      </c>
    </row>
    <row r="58" spans="2:9" ht="15.75" thickBot="1">
      <c r="B58" s="138"/>
      <c r="C58" s="191" t="s">
        <v>46</v>
      </c>
      <c r="D58" s="45"/>
      <c r="E58" s="196">
        <f>+I12</f>
        <v>144000</v>
      </c>
    </row>
    <row r="59" spans="2:9" ht="15">
      <c r="B59" s="137"/>
      <c r="C59" s="29" t="s">
        <v>14</v>
      </c>
      <c r="E59" s="8"/>
    </row>
    <row r="60" spans="2:9">
      <c r="B60" s="138"/>
      <c r="C60" s="54" t="s">
        <v>15</v>
      </c>
      <c r="E60" s="8">
        <f>+I14</f>
        <v>2520</v>
      </c>
    </row>
    <row r="61" spans="2:9">
      <c r="B61" s="139"/>
      <c r="C61" s="54" t="s">
        <v>106</v>
      </c>
      <c r="E61" s="8">
        <f>SUM(I16:I23)</f>
        <v>25100</v>
      </c>
    </row>
    <row r="62" spans="2:9">
      <c r="B62" s="139"/>
      <c r="C62" s="54" t="s">
        <v>23</v>
      </c>
      <c r="E62" s="8">
        <f>SUM(I25:I30)</f>
        <v>11610</v>
      </c>
    </row>
    <row r="63" spans="2:9">
      <c r="B63" s="140"/>
      <c r="C63" s="54" t="s">
        <v>52</v>
      </c>
      <c r="E63" s="8">
        <f>+I32</f>
        <v>6525</v>
      </c>
    </row>
    <row r="64" spans="2:9">
      <c r="B64" s="140"/>
      <c r="C64" s="54" t="s">
        <v>54</v>
      </c>
      <c r="E64" s="8">
        <f>SUM(I34:I35)</f>
        <v>9715</v>
      </c>
    </row>
    <row r="65" spans="2:9">
      <c r="B65" s="140"/>
      <c r="C65" s="54" t="s">
        <v>55</v>
      </c>
      <c r="E65" s="8">
        <f>+I36</f>
        <v>0</v>
      </c>
    </row>
    <row r="66" spans="2:9">
      <c r="B66" s="140"/>
      <c r="C66" s="54" t="s">
        <v>58</v>
      </c>
      <c r="E66" s="8">
        <f>SUM(I38:I43)</f>
        <v>24080</v>
      </c>
    </row>
    <row r="67" spans="2:9">
      <c r="B67" s="139"/>
      <c r="C67" s="54" t="s">
        <v>53</v>
      </c>
      <c r="E67" s="8">
        <f>+I44</f>
        <v>5000</v>
      </c>
    </row>
    <row r="68" spans="2:9">
      <c r="B68" s="139"/>
      <c r="C68" s="54" t="s">
        <v>271</v>
      </c>
      <c r="E68" s="8">
        <f>SUM(I46:I47)</f>
        <v>10000</v>
      </c>
    </row>
    <row r="69" spans="2:9">
      <c r="B69" s="139"/>
      <c r="C69" s="199" t="s">
        <v>374</v>
      </c>
      <c r="E69" s="8">
        <f>+I48</f>
        <v>450</v>
      </c>
    </row>
    <row r="70" spans="2:9" ht="15.75" thickBot="1">
      <c r="B70" s="4"/>
      <c r="C70" s="134" t="s">
        <v>41</v>
      </c>
      <c r="D70" s="135"/>
      <c r="E70" s="197">
        <f>+I49</f>
        <v>95000</v>
      </c>
    </row>
    <row r="71" spans="2:9" ht="15.75" thickBot="1">
      <c r="B71" s="144"/>
      <c r="C71" s="193" t="s">
        <v>42</v>
      </c>
      <c r="D71" s="194"/>
      <c r="E71" s="198">
        <f>+I50</f>
        <v>49000</v>
      </c>
    </row>
    <row r="72" spans="2:9" ht="15" thickTop="1"/>
    <row r="74" spans="2:9">
      <c r="H74" s="146">
        <f>G42/(E11/(E42*D42))</f>
        <v>2</v>
      </c>
      <c r="I74" s="3" t="s">
        <v>21</v>
      </c>
    </row>
    <row r="96" spans="3:7" ht="15.75" thickBot="1">
      <c r="C96" s="110" t="s">
        <v>133</v>
      </c>
      <c r="D96" s="111"/>
      <c r="E96" s="111"/>
      <c r="F96" s="111"/>
      <c r="G96" s="111"/>
    </row>
    <row r="97" spans="3:9">
      <c r="H97" s="16"/>
    </row>
    <row r="98" spans="3:9" ht="15.75" thickBot="1">
      <c r="C98" s="12"/>
      <c r="D98" s="13"/>
      <c r="E98" s="14"/>
      <c r="F98" s="57"/>
      <c r="G98" s="57" t="s">
        <v>161</v>
      </c>
      <c r="H98" s="57"/>
      <c r="I98" s="79"/>
    </row>
    <row r="99" spans="3:9">
      <c r="C99" s="15"/>
      <c r="D99" s="16"/>
      <c r="E99" s="154">
        <v>-0.2</v>
      </c>
      <c r="F99" s="154">
        <v>-0.1</v>
      </c>
      <c r="G99" s="59" t="s">
        <v>110</v>
      </c>
      <c r="H99" s="205">
        <v>0.1</v>
      </c>
      <c r="I99" s="155">
        <v>0.2</v>
      </c>
    </row>
    <row r="100" spans="3:9" ht="15.75" thickBot="1">
      <c r="C100" s="60" t="s">
        <v>171</v>
      </c>
      <c r="D100" s="61"/>
      <c r="E100" s="243">
        <f>$G$100*(1+E99)</f>
        <v>12.8</v>
      </c>
      <c r="F100" s="243">
        <f>$G$100*(1+F99)</f>
        <v>14.4</v>
      </c>
      <c r="G100" s="243">
        <f>+G11</f>
        <v>16</v>
      </c>
      <c r="H100" s="243">
        <f>$G$100*(1+H99)</f>
        <v>17.600000000000001</v>
      </c>
      <c r="I100" s="244">
        <f>$G$100*(1+I99)</f>
        <v>19.2</v>
      </c>
    </row>
    <row r="101" spans="3:9" ht="15">
      <c r="C101" s="152">
        <v>-0.2</v>
      </c>
      <c r="D101" s="142">
        <f>$D$103*(1+C101)</f>
        <v>8000</v>
      </c>
      <c r="E101" s="88">
        <f>$G$101-$D$101*($G$100-E100)</f>
        <v>-2993.4469565217296</v>
      </c>
      <c r="F101" s="88">
        <f>$G$101-$D$101*($G$100-F100)</f>
        <v>9806.5530434782668</v>
      </c>
      <c r="G101" s="88">
        <f>$G$103-($D$103-D101)*$G$100+($D$103-D101)*$H$74*1.2</f>
        <v>22606.553043478263</v>
      </c>
      <c r="H101" s="88">
        <f>$G$101+$D$101*(H100-$G$100)</f>
        <v>35406.55304347827</v>
      </c>
      <c r="I101" s="91">
        <f>$G$101+$D$101*(I100-$G$100)</f>
        <v>48206.553043478256</v>
      </c>
    </row>
    <row r="102" spans="3:9" ht="15">
      <c r="C102" s="152">
        <v>-0.1</v>
      </c>
      <c r="D102" s="142">
        <f>$D$103*(1+C102)</f>
        <v>9000</v>
      </c>
      <c r="E102" s="88">
        <f>$G$102-$D$102*($G$100-E100)</f>
        <v>7406.5530434782704</v>
      </c>
      <c r="F102" s="88">
        <f>$G$102-$D$102*($G$100-F100)</f>
        <v>21806.553043478267</v>
      </c>
      <c r="G102" s="88">
        <f>$G$103-($D$103-D102)*$G$100+($D$103-D102)*$H$74*1.2</f>
        <v>36206.553043478263</v>
      </c>
      <c r="H102" s="88">
        <f>$G$102+$D$102*(H100-$G$100)</f>
        <v>50606.553043478278</v>
      </c>
      <c r="I102" s="91">
        <f>$G$102+$D$102*(I100-$G$100)</f>
        <v>65006.553043478256</v>
      </c>
    </row>
    <row r="103" spans="3:9" ht="15">
      <c r="C103" s="18" t="s">
        <v>43</v>
      </c>
      <c r="D103" s="142">
        <f>+E11</f>
        <v>10000</v>
      </c>
      <c r="E103" s="88">
        <f>$G$103-$D$103*($G$100-E100)</f>
        <v>17806.55304347827</v>
      </c>
      <c r="F103" s="88">
        <f>$G$103-$D$103*($G$100-F100)</f>
        <v>33806.55304347827</v>
      </c>
      <c r="G103" s="63">
        <f>+I51</f>
        <v>49806.553043478263</v>
      </c>
      <c r="H103" s="88">
        <f>$G$103+$D$103*(H100-$G$100)</f>
        <v>65806.553043478285</v>
      </c>
      <c r="I103" s="91">
        <f>$G$103+$D$103*(I100-$G$100)</f>
        <v>81806.553043478256</v>
      </c>
    </row>
    <row r="104" spans="3:9" ht="15">
      <c r="C104" s="152">
        <v>0.1</v>
      </c>
      <c r="D104" s="142">
        <f>$D$103*(1+C104)</f>
        <v>11000</v>
      </c>
      <c r="E104" s="88">
        <f>$G$104-$D$104*($G$100-E100)</f>
        <v>30604.153043478269</v>
      </c>
      <c r="F104" s="88">
        <f>$G$104-$D$104*($G$100-F100)</f>
        <v>48204.153043478262</v>
      </c>
      <c r="G104" s="88">
        <f>$G$103+$G$100*(D104-$D$103)-$H$74*1.2</f>
        <v>65804.153043478262</v>
      </c>
      <c r="H104" s="88">
        <f>$G$104+$D$104*(H100-$G$100)</f>
        <v>83404.153043478276</v>
      </c>
      <c r="I104" s="91">
        <f>$G$104+$D$104*(I100-$G$100)</f>
        <v>101004.15304347826</v>
      </c>
    </row>
    <row r="105" spans="3:9" s="16" customFormat="1" ht="15">
      <c r="C105" s="206">
        <v>0.2</v>
      </c>
      <c r="D105" s="143">
        <f>$D$103*(1+C105)</f>
        <v>12000</v>
      </c>
      <c r="E105" s="148">
        <f>$G$105-$D$105*($G$100-E100)</f>
        <v>43404.153043478269</v>
      </c>
      <c r="F105" s="148">
        <f>$G$105-$D$105*($G$100-F100)</f>
        <v>62604.153043478262</v>
      </c>
      <c r="G105" s="95">
        <f>$G$103+$G$100*(D105-$D$103)-$H$74*1.2</f>
        <v>81804.153043478262</v>
      </c>
      <c r="H105" s="95">
        <f>$G$105+$D$105*(H100-$G$100)</f>
        <v>101004.15304347828</v>
      </c>
      <c r="I105" s="136">
        <f>$G$105+$D$105*(I100-$G$100)</f>
        <v>120204.15304347826</v>
      </c>
    </row>
    <row r="106" spans="3:9" s="16" customFormat="1"/>
    <row r="107" spans="3:9" s="16" customFormat="1">
      <c r="C107" s="113"/>
      <c r="D107" s="114"/>
      <c r="E107" s="114"/>
      <c r="F107" s="115"/>
      <c r="G107" s="115"/>
      <c r="H107" s="116"/>
      <c r="I107" s="115"/>
    </row>
    <row r="108" spans="3:9" s="16" customFormat="1">
      <c r="C108" s="113"/>
      <c r="D108" s="114"/>
      <c r="E108" s="114"/>
      <c r="F108" s="117"/>
      <c r="G108" s="117"/>
      <c r="H108" s="117"/>
      <c r="I108" s="117"/>
    </row>
    <row r="109" spans="3:9" s="16" customFormat="1">
      <c r="C109" s="113"/>
      <c r="D109" s="113"/>
      <c r="E109" s="114"/>
      <c r="F109" s="118"/>
      <c r="G109" s="118"/>
      <c r="H109" s="118"/>
      <c r="I109" s="118"/>
    </row>
    <row r="110" spans="3:9" s="16" customFormat="1">
      <c r="C110" s="119"/>
      <c r="D110" s="120"/>
      <c r="E110" s="114"/>
      <c r="F110" s="112"/>
      <c r="G110" s="112"/>
      <c r="H110" s="121"/>
      <c r="I110" s="112"/>
    </row>
    <row r="111" spans="3:9" s="16" customFormat="1">
      <c r="C111" s="122"/>
      <c r="D111" s="120"/>
      <c r="E111" s="114"/>
      <c r="F111" s="112"/>
      <c r="G111" s="112"/>
      <c r="H111" s="112"/>
      <c r="I111" s="112"/>
    </row>
    <row r="112" spans="3:9" s="16" customFormat="1">
      <c r="C112" s="119"/>
      <c r="D112" s="120"/>
      <c r="E112" s="114"/>
      <c r="F112" s="112"/>
      <c r="G112" s="112"/>
      <c r="H112" s="112"/>
      <c r="I112" s="112"/>
    </row>
    <row r="113" s="16" customFormat="1"/>
    <row r="114" s="16" customFormat="1"/>
    <row r="115" s="16" customFormat="1"/>
    <row r="203" spans="81:107" ht="15.75">
      <c r="CC203" s="269" t="s">
        <v>375</v>
      </c>
      <c r="CD203" s="270"/>
      <c r="CE203" s="270"/>
      <c r="CF203" s="270"/>
      <c r="CG203" s="270"/>
      <c r="CH203" s="270"/>
      <c r="CI203" s="270"/>
      <c r="CJ203" s="270"/>
      <c r="CK203" s="270"/>
      <c r="CL203"/>
      <c r="CM203"/>
      <c r="CN203" s="271" t="s">
        <v>414</v>
      </c>
      <c r="CO203" s="272"/>
      <c r="CP203" s="272"/>
      <c r="CQ203" s="272"/>
      <c r="CR203" s="272"/>
      <c r="CS203" s="272"/>
      <c r="CT203" s="272"/>
      <c r="CU203" s="272"/>
      <c r="CV203" s="272"/>
      <c r="CZ203" s="298" t="s">
        <v>408</v>
      </c>
      <c r="DA203" s="300">
        <v>0.15</v>
      </c>
      <c r="DB203" s="300">
        <v>0.15</v>
      </c>
      <c r="DC203" s="300">
        <v>0.15</v>
      </c>
    </row>
    <row r="204" spans="81:107" ht="15.75">
      <c r="CC204" s="273" t="s">
        <v>376</v>
      </c>
      <c r="CD204" s="273" t="s">
        <v>377</v>
      </c>
      <c r="CE204" s="273" t="s">
        <v>378</v>
      </c>
      <c r="CF204" s="274" t="s">
        <v>379</v>
      </c>
      <c r="CG204" s="274"/>
      <c r="CH204" s="274"/>
      <c r="CI204" s="274" t="s">
        <v>380</v>
      </c>
      <c r="CJ204" s="274"/>
      <c r="CK204" s="275"/>
      <c r="CL204"/>
      <c r="CM204"/>
      <c r="CN204" s="273" t="s">
        <v>376</v>
      </c>
      <c r="CO204" s="273" t="s">
        <v>377</v>
      </c>
      <c r="CP204" s="273" t="s">
        <v>378</v>
      </c>
      <c r="CQ204" s="274" t="s">
        <v>379</v>
      </c>
      <c r="CR204" s="274"/>
      <c r="CS204" s="274"/>
      <c r="CT204" s="274" t="s">
        <v>380</v>
      </c>
      <c r="CU204" s="274"/>
      <c r="CV204" s="275"/>
      <c r="CZ204" s="298" t="s">
        <v>399</v>
      </c>
      <c r="DA204" s="300">
        <v>0.16</v>
      </c>
      <c r="DB204" s="300">
        <v>0.16</v>
      </c>
      <c r="DC204" s="300">
        <v>0.16</v>
      </c>
    </row>
    <row r="205" spans="81:107" ht="18">
      <c r="CC205"/>
      <c r="CD205"/>
      <c r="CE205"/>
      <c r="CF205" s="276" t="s">
        <v>381</v>
      </c>
      <c r="CG205" s="276" t="s">
        <v>382</v>
      </c>
      <c r="CH205" s="276" t="s">
        <v>383</v>
      </c>
      <c r="CI205" s="276" t="s">
        <v>381</v>
      </c>
      <c r="CJ205" s="276" t="s">
        <v>382</v>
      </c>
      <c r="CK205" s="276" t="s">
        <v>383</v>
      </c>
      <c r="CL205"/>
      <c r="CM205"/>
      <c r="CN205"/>
      <c r="CO205"/>
      <c r="CP205"/>
      <c r="CQ205" s="276" t="s">
        <v>381</v>
      </c>
      <c r="CR205" s="276" t="s">
        <v>382</v>
      </c>
      <c r="CS205" s="276" t="s">
        <v>383</v>
      </c>
      <c r="CT205" s="276" t="s">
        <v>381</v>
      </c>
      <c r="CU205" s="276" t="s">
        <v>382</v>
      </c>
      <c r="CV205" s="276" t="s">
        <v>383</v>
      </c>
      <c r="CZ205" s="298" t="s">
        <v>407</v>
      </c>
      <c r="DA205" s="300">
        <v>0.06</v>
      </c>
      <c r="DB205" s="300">
        <v>0.12</v>
      </c>
      <c r="DC205" s="300">
        <v>0.24</v>
      </c>
    </row>
    <row r="206" spans="81:107">
      <c r="CC206" t="str">
        <f>+C17</f>
        <v>NPK 6:12:24</v>
      </c>
      <c r="CD206" s="21">
        <f>+E17</f>
        <v>200</v>
      </c>
      <c r="CE206" t="s">
        <v>20</v>
      </c>
      <c r="CF206" s="304">
        <f>IF($CC206=$CZ$203,$DA$203,IF($CC206=$CZ$204,$DA$204,IF($CC206=$CZ$205,$DA$205,IF($CC206=$CZ$206,$DA$206, IF($CC206=$CZ$207,$DA$207,IF($CC206=$CZ$208,$DA$208,IF($CC206=$CZ$209,$DA$209,IF($CC206=$CZ$210,$DA$210,"0%"))))))))</f>
        <v>0.06</v>
      </c>
      <c r="CG206" s="304">
        <f>IF($CC206=$CZ$203,$DB$203,IF($CC206=$CZ$204,$DB$204,IF($CC206=$CZ$205,$DB$205,IF($CC206=$CZ$206,$DB$206, IF($CC206=$CZ$207,$DB$207,IF($CC206=$CZ$208,$DB$208,IF($CC206=$CZ$209,$DB$209,IF($CC206=$CZ$210,$DB$210,"0%"))))))))</f>
        <v>0.12</v>
      </c>
      <c r="CH206" s="304">
        <f>IF($CC206=$CZ$203,$DC$203,IF($CC206=$CZ$204,$DC$204,IF($CC206=$CZ$205,$DC$205,IF($CC206=$CZ$206,$DC$206, IF($CC206=$CZ$207,$DC$207,IF($CC206=$CZ$208,$DC$208,IF($CC206=$CZ$209,$DC$209,IF($CC206=$CZ$210,$DC$210,"0%"))))))))</f>
        <v>0.24</v>
      </c>
      <c r="CI206">
        <f>$CD206*CF206</f>
        <v>12</v>
      </c>
      <c r="CJ206">
        <f t="shared" ref="CJ206:CK210" si="3">$CD206*CG206</f>
        <v>24</v>
      </c>
      <c r="CK206">
        <f t="shared" si="3"/>
        <v>48</v>
      </c>
      <c r="CL206"/>
      <c r="CM206"/>
      <c r="CN206" s="1" t="str">
        <f>C17</f>
        <v>NPK 6:12:24</v>
      </c>
      <c r="CO206" s="21">
        <f>+E17</f>
        <v>200</v>
      </c>
      <c r="CP206" t="s">
        <v>20</v>
      </c>
      <c r="CQ206" s="304">
        <f>IF($CC206=$CZ$203,$DA$203,IF($CC206=$CZ$204,$DA$204,IF($CC206=$CZ$205,$DA$205,IF($CC206=$CZ$206,$DA$206, IF($CC206=$CZ$207,$DA$207,IF($CC206=$CZ$208,$DA$208,IF($CC206=$CZ$209,$DA$209,IF($CC206=$CZ$210,$DA$210,"0%"))))))))</f>
        <v>0.06</v>
      </c>
      <c r="CR206" s="304">
        <f>IF($CC206=$CZ$203,$DB$203,IF($CC206=$CZ$204,$DB$204,IF($CC206=$CZ$205,$DB$205,IF($CC206=$CZ$206,$DB$206, IF($CC206=$CZ$207,$DB$207,IF($CC206=$CZ$208,$DB$208,IF($CC206=$CZ$209,$DB$209,IF($CC206=$CZ$210,$DB$210,"0%"))))))))</f>
        <v>0.12</v>
      </c>
      <c r="CS206" s="304">
        <f>IF($CC206=$CZ$203,$DC$203,IF($CC206=$CZ$204,$DC$204,IF($CC206=$CZ$205,$DC$205,IF($CC206=$CZ$206,$DC$206, IF($CC206=$CZ$207,$DC$207,IF($CC206=$CZ$208,$DC$208,IF($CC206=$CZ$209,$DC$209,IF($CC206=$CZ$210,$DC$210,"0%"))))))))</f>
        <v>0.24</v>
      </c>
      <c r="CT206">
        <f>CO206*CQ206</f>
        <v>12</v>
      </c>
      <c r="CU206">
        <f>CO206*CR206</f>
        <v>24</v>
      </c>
      <c r="CV206">
        <f>CO206*CS206</f>
        <v>48</v>
      </c>
      <c r="CZ206" s="299" t="s">
        <v>412</v>
      </c>
      <c r="DA206" s="301">
        <v>0.11</v>
      </c>
      <c r="DB206" s="301">
        <v>0.52</v>
      </c>
      <c r="DC206" s="301">
        <v>0</v>
      </c>
    </row>
    <row r="207" spans="81:107">
      <c r="CC207" t="str">
        <f t="shared" ref="CC207:CC212" si="4">+C18</f>
        <v>UREA 46:0:0</v>
      </c>
      <c r="CD207" s="21">
        <f t="shared" ref="CD207:CD212" si="5">+E18</f>
        <v>150</v>
      </c>
      <c r="CE207" t="s">
        <v>20</v>
      </c>
      <c r="CF207" s="304">
        <f t="shared" ref="CF207:CF210" si="6">IF($CC207=$CZ$203,$DA$203,IF($CC207=$CZ$204,$DA$204,IF($CC207=$CZ$205,$DA$205,IF($CC207=CZ$206,$DA$206, IF($CC207=CZ$207,$DA$207,IF($CC207=$CZ$208,$DA$208,IF($CC207=$CZ$209,$DA$209,IF($CC207=$CZ$210,$DA$210,"0%"))))))))</f>
        <v>0.46</v>
      </c>
      <c r="CG207" s="304">
        <f t="shared" ref="CG207:CG210" si="7">IF($CC207=$CZ$203,$DB$203,IF($CC207=$CZ$204,$DB$204,IF($CC207=$CZ$205,$DB$205,IF($CC207=$CZ$206,$DB$206, IF($CC207=$CZ$207,$DB$207,IF($CC207=$CZ$208,$DB$208,IF($CC207=$CZ$209,$DB$209,IF($CC207=$CZ$210,$DB$210,"0%"))))))))</f>
        <v>0</v>
      </c>
      <c r="CH207" s="304">
        <f t="shared" ref="CH207:CH210" si="8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69</v>
      </c>
      <c r="CJ207">
        <f t="shared" si="3"/>
        <v>0</v>
      </c>
      <c r="CK207">
        <f t="shared" si="3"/>
        <v>0</v>
      </c>
      <c r="CL207"/>
      <c r="CM207"/>
      <c r="CN207" s="1" t="str">
        <f t="shared" ref="CN207:CN212" si="9">C18</f>
        <v>UREA 46:0:0</v>
      </c>
      <c r="CO207" s="21">
        <f t="shared" ref="CO207:CO212" si="10">+E18</f>
        <v>150</v>
      </c>
      <c r="CP207" t="s">
        <v>20</v>
      </c>
      <c r="CQ207" s="304">
        <f t="shared" ref="CQ207:CQ210" si="11">IF($CC207=$CZ$203,$DA$203,IF($CC207=$CZ$204,$DA$204,IF($CC207=$CZ$205,$DA$205,IF($CC207=$CZ$206,$DA$206, IF($CC207=$CZ$207,$DA$207,IF($CC207=$CZ$208,$DA$208,IF($CC207=$CZ$209,$DA$209,IF($CC207=$CZ$210,$DA$210,"0%"))))))))</f>
        <v>0.46</v>
      </c>
      <c r="CR207" s="304">
        <f t="shared" ref="CR207:CR210" si="12">IF($CC207=$CZ$203,$DB$203,IF($CC207=$CZ$204,$DB$204,IF($CC207=$CZ$205,$DB$205,IF($CC207=$CZ$206,$DB$206, IF($CC207=$CZ$207,$DB$207,IF($CC207=$CZ$208,$DB$208,IF($CC207=$CZ$209,$DB$209,IF($CC207=$CZ$210,$DB$210,"0%"))))))))</f>
        <v>0</v>
      </c>
      <c r="CS207" s="304">
        <f t="shared" ref="CS207:CS210" si="13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4">CO207*CQ207</f>
        <v>69</v>
      </c>
      <c r="CU207">
        <f t="shared" ref="CU207:CU212" si="15">CO207*CR207</f>
        <v>0</v>
      </c>
      <c r="CV207">
        <f t="shared" ref="CV207:CV212" si="16">CO207*CS207</f>
        <v>0</v>
      </c>
      <c r="CZ207" s="299" t="s">
        <v>413</v>
      </c>
      <c r="DA207" s="301">
        <v>0.12</v>
      </c>
      <c r="DB207" s="301">
        <v>0.52</v>
      </c>
      <c r="DC207" s="301">
        <v>0</v>
      </c>
    </row>
    <row r="208" spans="81:107">
      <c r="CC208">
        <f t="shared" si="4"/>
        <v>0</v>
      </c>
      <c r="CD208" s="21">
        <f t="shared" si="5"/>
        <v>0</v>
      </c>
      <c r="CE208" t="s">
        <v>20</v>
      </c>
      <c r="CF208" s="304" t="str">
        <f t="shared" si="6"/>
        <v>0%</v>
      </c>
      <c r="CG208" s="304" t="str">
        <f t="shared" si="7"/>
        <v>0%</v>
      </c>
      <c r="CH208" s="304" t="str">
        <f t="shared" si="8"/>
        <v>0%</v>
      </c>
      <c r="CI208">
        <f t="shared" ref="CI208:CI210" si="17">$CD208*CF208</f>
        <v>0</v>
      </c>
      <c r="CJ208">
        <f t="shared" si="3"/>
        <v>0</v>
      </c>
      <c r="CK208">
        <f t="shared" si="3"/>
        <v>0</v>
      </c>
      <c r="CL208"/>
      <c r="CM208"/>
      <c r="CN208" s="1">
        <f t="shared" si="9"/>
        <v>0</v>
      </c>
      <c r="CO208" s="21">
        <f t="shared" si="10"/>
        <v>0</v>
      </c>
      <c r="CP208" t="s">
        <v>20</v>
      </c>
      <c r="CQ208" s="304" t="str">
        <f t="shared" si="11"/>
        <v>0%</v>
      </c>
      <c r="CR208" s="304" t="str">
        <f t="shared" si="12"/>
        <v>0%</v>
      </c>
      <c r="CS208" s="304" t="str">
        <f t="shared" si="13"/>
        <v>0%</v>
      </c>
      <c r="CT208">
        <f t="shared" si="14"/>
        <v>0</v>
      </c>
      <c r="CU208">
        <f t="shared" si="15"/>
        <v>0</v>
      </c>
      <c r="CV208">
        <f t="shared" si="16"/>
        <v>0</v>
      </c>
      <c r="CZ208" s="298" t="s">
        <v>409</v>
      </c>
      <c r="DA208" s="301">
        <v>0.46</v>
      </c>
      <c r="DB208" s="301">
        <v>0</v>
      </c>
      <c r="DC208" s="301">
        <v>0</v>
      </c>
    </row>
    <row r="209" spans="81:107">
      <c r="CC209">
        <f t="shared" si="4"/>
        <v>0</v>
      </c>
      <c r="CD209" s="21">
        <f t="shared" si="5"/>
        <v>0</v>
      </c>
      <c r="CE209" t="s">
        <v>20</v>
      </c>
      <c r="CF209" s="304" t="str">
        <f t="shared" si="6"/>
        <v>0%</v>
      </c>
      <c r="CG209" s="304" t="str">
        <f t="shared" si="7"/>
        <v>0%</v>
      </c>
      <c r="CH209" s="304" t="str">
        <f t="shared" si="8"/>
        <v>0%</v>
      </c>
      <c r="CI209">
        <f t="shared" si="17"/>
        <v>0</v>
      </c>
      <c r="CJ209">
        <f t="shared" si="3"/>
        <v>0</v>
      </c>
      <c r="CK209">
        <f t="shared" si="3"/>
        <v>0</v>
      </c>
      <c r="CL209"/>
      <c r="CM209"/>
      <c r="CN209" s="1">
        <f t="shared" si="9"/>
        <v>0</v>
      </c>
      <c r="CO209" s="21">
        <f t="shared" si="10"/>
        <v>0</v>
      </c>
      <c r="CP209" t="s">
        <v>20</v>
      </c>
      <c r="CQ209" s="304" t="str">
        <f t="shared" si="11"/>
        <v>0%</v>
      </c>
      <c r="CR209" s="304" t="str">
        <f t="shared" si="12"/>
        <v>0%</v>
      </c>
      <c r="CS209" s="304" t="str">
        <f t="shared" si="13"/>
        <v>0%</v>
      </c>
      <c r="CT209">
        <f t="shared" si="14"/>
        <v>0</v>
      </c>
      <c r="CU209">
        <f t="shared" si="15"/>
        <v>0</v>
      </c>
      <c r="CV209">
        <f t="shared" si="16"/>
        <v>0</v>
      </c>
      <c r="CZ209" s="298" t="s">
        <v>410</v>
      </c>
      <c r="DA209" s="301">
        <v>0.27</v>
      </c>
      <c r="DB209" s="301">
        <v>0</v>
      </c>
      <c r="DC209" s="301">
        <v>0</v>
      </c>
    </row>
    <row r="210" spans="81:107">
      <c r="CC210">
        <f t="shared" si="4"/>
        <v>0</v>
      </c>
      <c r="CD210" s="21">
        <f t="shared" si="5"/>
        <v>0</v>
      </c>
      <c r="CE210" t="s">
        <v>20</v>
      </c>
      <c r="CF210" s="304" t="str">
        <f t="shared" si="6"/>
        <v>0%</v>
      </c>
      <c r="CG210" s="304" t="str">
        <f t="shared" si="7"/>
        <v>0%</v>
      </c>
      <c r="CH210" s="304" t="str">
        <f t="shared" si="8"/>
        <v>0%</v>
      </c>
      <c r="CI210">
        <f t="shared" si="17"/>
        <v>0</v>
      </c>
      <c r="CJ210">
        <f t="shared" si="3"/>
        <v>0</v>
      </c>
      <c r="CK210">
        <f t="shared" si="3"/>
        <v>0</v>
      </c>
      <c r="CL210"/>
      <c r="CM210"/>
      <c r="CN210" s="1">
        <f t="shared" si="9"/>
        <v>0</v>
      </c>
      <c r="CO210" s="21">
        <f t="shared" si="10"/>
        <v>0</v>
      </c>
      <c r="CP210" t="s">
        <v>20</v>
      </c>
      <c r="CQ210" s="304" t="str">
        <f t="shared" si="11"/>
        <v>0%</v>
      </c>
      <c r="CR210" s="304" t="str">
        <f t="shared" si="12"/>
        <v>0%</v>
      </c>
      <c r="CS210" s="304" t="str">
        <f t="shared" si="13"/>
        <v>0%</v>
      </c>
      <c r="CT210">
        <f t="shared" si="14"/>
        <v>0</v>
      </c>
      <c r="CU210">
        <f t="shared" si="15"/>
        <v>0</v>
      </c>
      <c r="CV210">
        <f t="shared" si="16"/>
        <v>0</v>
      </c>
      <c r="CZ210" s="299" t="s">
        <v>411</v>
      </c>
      <c r="DA210" s="302">
        <v>0.33500000000000002</v>
      </c>
      <c r="DB210" s="301">
        <v>0</v>
      </c>
      <c r="DC210" s="301">
        <v>0</v>
      </c>
    </row>
    <row r="211" spans="81:107">
      <c r="CC211">
        <f t="shared" si="4"/>
        <v>0</v>
      </c>
      <c r="CD211" s="21">
        <f t="shared" si="5"/>
        <v>0</v>
      </c>
      <c r="CE211" t="s">
        <v>20</v>
      </c>
      <c r="CF211" s="304">
        <f>+O22</f>
        <v>0</v>
      </c>
      <c r="CG211" s="304">
        <f t="shared" ref="CG211:CH211" si="18">+P22</f>
        <v>0</v>
      </c>
      <c r="CH211" s="304">
        <f t="shared" si="18"/>
        <v>0</v>
      </c>
      <c r="CI211">
        <f t="shared" ref="CI211:CK212" si="19">$CD211*CF211</f>
        <v>0</v>
      </c>
      <c r="CJ211">
        <f t="shared" si="19"/>
        <v>0</v>
      </c>
      <c r="CK211">
        <f t="shared" si="19"/>
        <v>0</v>
      </c>
      <c r="CL211"/>
      <c r="CM211"/>
      <c r="CN211" s="1">
        <f t="shared" si="9"/>
        <v>0</v>
      </c>
      <c r="CO211" s="21">
        <f t="shared" si="10"/>
        <v>0</v>
      </c>
      <c r="CP211" t="s">
        <v>20</v>
      </c>
      <c r="CQ211" s="278">
        <f>+O22</f>
        <v>0</v>
      </c>
      <c r="CR211" s="278">
        <f t="shared" ref="CR211:CS211" si="20">+P22</f>
        <v>0</v>
      </c>
      <c r="CS211" s="278">
        <f t="shared" si="20"/>
        <v>0</v>
      </c>
      <c r="CT211">
        <f t="shared" si="14"/>
        <v>0</v>
      </c>
      <c r="CU211">
        <f t="shared" si="15"/>
        <v>0</v>
      </c>
      <c r="CV211">
        <f t="shared" si="16"/>
        <v>0</v>
      </c>
    </row>
    <row r="212" spans="81:107">
      <c r="CC212">
        <f t="shared" si="4"/>
        <v>0</v>
      </c>
      <c r="CD212" s="21">
        <f t="shared" si="5"/>
        <v>0</v>
      </c>
      <c r="CE212" t="s">
        <v>20</v>
      </c>
      <c r="CF212" s="304">
        <f>+O23</f>
        <v>0</v>
      </c>
      <c r="CG212" s="304">
        <f t="shared" ref="CG212" si="21">+P23</f>
        <v>0</v>
      </c>
      <c r="CH212" s="304">
        <f t="shared" ref="CH212" si="22">+Q23</f>
        <v>0</v>
      </c>
      <c r="CI212">
        <f t="shared" si="19"/>
        <v>0</v>
      </c>
      <c r="CJ212">
        <f t="shared" si="19"/>
        <v>0</v>
      </c>
      <c r="CK212">
        <f t="shared" si="19"/>
        <v>0</v>
      </c>
      <c r="CL212"/>
      <c r="CM212"/>
      <c r="CN212" s="1">
        <f t="shared" si="9"/>
        <v>0</v>
      </c>
      <c r="CO212" s="21">
        <f t="shared" si="10"/>
        <v>0</v>
      </c>
      <c r="CP212" t="s">
        <v>20</v>
      </c>
      <c r="CQ212" s="278">
        <f>+O23</f>
        <v>0</v>
      </c>
      <c r="CR212" s="278">
        <f t="shared" ref="CR212" si="23">+P23</f>
        <v>0</v>
      </c>
      <c r="CS212" s="278">
        <f t="shared" ref="CS212" si="24">+Q23</f>
        <v>0</v>
      </c>
      <c r="CT212">
        <f t="shared" si="14"/>
        <v>0</v>
      </c>
      <c r="CU212">
        <f t="shared" si="15"/>
        <v>0</v>
      </c>
      <c r="CV212">
        <f t="shared" si="16"/>
        <v>0</v>
      </c>
    </row>
    <row r="213" spans="81:107">
      <c r="CC213" t="s">
        <v>384</v>
      </c>
      <c r="CD213" s="21">
        <f>+E16/1000</f>
        <v>40</v>
      </c>
      <c r="CE213" t="s">
        <v>2</v>
      </c>
      <c r="CF213" s="310">
        <v>6.4999999999999997E-3</v>
      </c>
      <c r="CG213" s="279">
        <v>3.0000000000000001E-3</v>
      </c>
      <c r="CH213" s="279">
        <v>6.0000000000000001E-3</v>
      </c>
      <c r="CI213">
        <f>CD213*CF213*1000*CD214</f>
        <v>52</v>
      </c>
      <c r="CJ213">
        <f>CD213*CG213*1000*CD214</f>
        <v>24</v>
      </c>
      <c r="CK213">
        <f>CD213*CH213*1000*CD214</f>
        <v>48</v>
      </c>
      <c r="CL213"/>
      <c r="CM213"/>
      <c r="CN213" t="s">
        <v>384</v>
      </c>
      <c r="CO213" s="21">
        <f>+E16/1000</f>
        <v>40</v>
      </c>
      <c r="CP213" t="s">
        <v>2</v>
      </c>
      <c r="CQ213" s="310">
        <v>6.4999999999999997E-3</v>
      </c>
      <c r="CR213" s="279">
        <v>3.0000000000000001E-3</v>
      </c>
      <c r="CS213" s="279">
        <v>6.0000000000000001E-3</v>
      </c>
      <c r="CT213">
        <f>CO213*CQ213*1000*CO214</f>
        <v>52</v>
      </c>
      <c r="CU213">
        <f>CO213*CR213*1000*CO214</f>
        <v>24</v>
      </c>
      <c r="CV213">
        <f>CO213*CS213*1000*CO214</f>
        <v>48</v>
      </c>
    </row>
    <row r="214" spans="81:107">
      <c r="CC214" t="s">
        <v>385</v>
      </c>
      <c r="CD214" s="296">
        <f>+D16</f>
        <v>0.2</v>
      </c>
      <c r="CE214" s="280" t="s">
        <v>386</v>
      </c>
      <c r="CF214"/>
      <c r="CG214"/>
      <c r="CH214"/>
      <c r="CI214"/>
      <c r="CJ214"/>
      <c r="CK214"/>
      <c r="CL214"/>
      <c r="CM214"/>
      <c r="CN214" t="s">
        <v>385</v>
      </c>
      <c r="CO214" s="296">
        <f>+D16</f>
        <v>0.2</v>
      </c>
      <c r="CP214" s="280" t="s">
        <v>386</v>
      </c>
      <c r="CQ214"/>
      <c r="CR214"/>
      <c r="CS214"/>
      <c r="CT214"/>
      <c r="CU214"/>
      <c r="CV214"/>
    </row>
    <row r="215" spans="81:107">
      <c r="CC215" t="s">
        <v>76</v>
      </c>
      <c r="CD215"/>
      <c r="CE215"/>
      <c r="CF215"/>
      <c r="CG215"/>
      <c r="CH215"/>
      <c r="CI215">
        <f>SUM(CI206:CI214)</f>
        <v>133</v>
      </c>
      <c r="CJ215">
        <f>SUM(CJ206:CJ214)</f>
        <v>48</v>
      </c>
      <c r="CK215">
        <f>SUM(CK206:CK214)</f>
        <v>96</v>
      </c>
      <c r="CL215"/>
      <c r="CM215"/>
      <c r="CN215" t="s">
        <v>76</v>
      </c>
      <c r="CO215"/>
      <c r="CP215"/>
      <c r="CQ215"/>
      <c r="CR215"/>
      <c r="CS215"/>
      <c r="CT215">
        <f>SUM(CT206:CT214)</f>
        <v>133</v>
      </c>
      <c r="CU215">
        <f>SUM(CU206:CU214)</f>
        <v>48</v>
      </c>
      <c r="CV215">
        <f>SUM(CV206:CV214)</f>
        <v>96</v>
      </c>
    </row>
    <row r="216" spans="81:107">
      <c r="CC216" s="311" t="s">
        <v>449</v>
      </c>
      <c r="CD216" s="281">
        <f>+E11/1000</f>
        <v>10</v>
      </c>
      <c r="CE216" t="s">
        <v>2</v>
      </c>
      <c r="CF216"/>
      <c r="CG216"/>
      <c r="CH216"/>
      <c r="CI216"/>
      <c r="CJ216"/>
      <c r="CK216"/>
      <c r="CL216"/>
      <c r="CM216"/>
      <c r="CN216" s="311" t="s">
        <v>449</v>
      </c>
      <c r="CO216" s="282">
        <f>+CD216</f>
        <v>10</v>
      </c>
      <c r="CP216" t="s">
        <v>2</v>
      </c>
      <c r="CQ216"/>
      <c r="CR216"/>
      <c r="CS216"/>
      <c r="CT216"/>
      <c r="CU216"/>
      <c r="CV216"/>
    </row>
    <row r="217" spans="81:107">
      <c r="CC217" s="311" t="s">
        <v>423</v>
      </c>
      <c r="CD217"/>
      <c r="CE217" t="s">
        <v>390</v>
      </c>
      <c r="CF217"/>
      <c r="CG217"/>
      <c r="CH217"/>
      <c r="CI217" s="283">
        <v>13</v>
      </c>
      <c r="CJ217" s="283">
        <v>4</v>
      </c>
      <c r="CK217" s="283">
        <v>9.4</v>
      </c>
      <c r="CL217"/>
      <c r="CM217"/>
      <c r="CN217" s="311" t="s">
        <v>423</v>
      </c>
      <c r="CO217"/>
      <c r="CP217" t="s">
        <v>390</v>
      </c>
      <c r="CQ217"/>
      <c r="CR217"/>
      <c r="CS217"/>
      <c r="CT217" s="283">
        <v>13</v>
      </c>
      <c r="CU217" s="283">
        <v>4</v>
      </c>
      <c r="CV217" s="283">
        <v>9.4</v>
      </c>
    </row>
    <row r="218" spans="81:107" ht="15" thickBot="1">
      <c r="CC218" s="311" t="s">
        <v>423</v>
      </c>
      <c r="CD218"/>
      <c r="CE218" t="s">
        <v>20</v>
      </c>
      <c r="CF218"/>
      <c r="CG218"/>
      <c r="CH218"/>
      <c r="CI218">
        <f>CD216*CI217</f>
        <v>130</v>
      </c>
      <c r="CJ218">
        <f>CD216*CJ217</f>
        <v>40</v>
      </c>
      <c r="CK218">
        <f>CD216*CK217</f>
        <v>94</v>
      </c>
      <c r="CL218"/>
      <c r="CM218"/>
      <c r="CN218" s="311" t="s">
        <v>423</v>
      </c>
      <c r="CO218"/>
      <c r="CP218" t="s">
        <v>20</v>
      </c>
      <c r="CQ218"/>
      <c r="CR218"/>
      <c r="CS218"/>
      <c r="CT218">
        <f>CO216*CT217</f>
        <v>130</v>
      </c>
      <c r="CU218">
        <f>CO216*CU217</f>
        <v>40</v>
      </c>
      <c r="CV218">
        <f>CO216*CV217</f>
        <v>94</v>
      </c>
    </row>
    <row r="219" spans="81:107" ht="16.5" thickTop="1" thickBot="1">
      <c r="CC219" s="284" t="s">
        <v>391</v>
      </c>
      <c r="CD219" s="285"/>
      <c r="CE219" s="285" t="s">
        <v>20</v>
      </c>
      <c r="CF219" s="285"/>
      <c r="CG219" s="285"/>
      <c r="CH219" s="285"/>
      <c r="CI219" s="286">
        <f>SUM(CI215:CI215)-CI218</f>
        <v>3</v>
      </c>
      <c r="CJ219" s="287">
        <f>CJ215-CJ218</f>
        <v>8</v>
      </c>
      <c r="CK219" s="288">
        <f>CK215-CK218</f>
        <v>2</v>
      </c>
      <c r="CL219"/>
      <c r="CM219"/>
      <c r="CN219" s="284" t="s">
        <v>391</v>
      </c>
      <c r="CO219" s="285"/>
      <c r="CP219" s="285" t="s">
        <v>20</v>
      </c>
      <c r="CQ219" s="285"/>
      <c r="CR219" s="285"/>
      <c r="CS219" s="285"/>
      <c r="CT219" s="285">
        <f>SUM(CT215:CT215)-CT218</f>
        <v>3</v>
      </c>
      <c r="CU219" s="288">
        <f>CU215-CU218</f>
        <v>8</v>
      </c>
      <c r="CV219" s="288">
        <f>CV215-CV218</f>
        <v>2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303">
        <f>+Inputi!D8</f>
        <v>73.91304347826086</v>
      </c>
      <c r="CJ221" s="303">
        <f>+Inputi!E8</f>
        <v>90.168896321070235</v>
      </c>
      <c r="CK221" s="303">
        <f>+Inputi!F8</f>
        <v>42.600936454849503</v>
      </c>
      <c r="CL221"/>
      <c r="CM221"/>
      <c r="CN221" t="s">
        <v>5</v>
      </c>
      <c r="CO221"/>
      <c r="CP221"/>
      <c r="CQ221"/>
      <c r="CR221"/>
      <c r="CS221"/>
      <c r="CT221" s="303">
        <f>+Inputi!D8</f>
        <v>73.91304347826086</v>
      </c>
      <c r="CU221" s="303">
        <f>+Inputi!E8</f>
        <v>90.168896321070235</v>
      </c>
      <c r="CV221" s="303">
        <f>+Inputi!F8</f>
        <v>42.600936454849503</v>
      </c>
    </row>
    <row r="222" spans="81:107" ht="15">
      <c r="CC222" s="276" t="s">
        <v>392</v>
      </c>
      <c r="CD222" s="289">
        <f>SUMPRODUCT(CI221:CK221,CI215:CK215)</f>
        <v>18248.231705685615</v>
      </c>
      <c r="CE222"/>
      <c r="CF222"/>
      <c r="CG222"/>
      <c r="CH222"/>
      <c r="CI222"/>
      <c r="CJ222"/>
      <c r="CK222"/>
      <c r="CL222"/>
      <c r="CM222"/>
      <c r="CN222" s="276" t="s">
        <v>392</v>
      </c>
      <c r="CO222" s="289">
        <f>SUMPRODUCT(CT221:CV221,CT215:CV215)</f>
        <v>18248.231705685615</v>
      </c>
      <c r="CP222"/>
      <c r="CQ222"/>
      <c r="CR222"/>
      <c r="CS222"/>
      <c r="CT222"/>
      <c r="CU222"/>
      <c r="CV222"/>
    </row>
    <row r="223" spans="81:107" ht="15.75">
      <c r="CC223" s="290" t="s">
        <v>393</v>
      </c>
      <c r="CD223" s="291">
        <f>CI218*CI221+CJ218*CJ221+CK218*CK221</f>
        <v>17219.939531772576</v>
      </c>
      <c r="CE223"/>
      <c r="CF223"/>
      <c r="CG223"/>
      <c r="CH223"/>
      <c r="CI223"/>
      <c r="CJ223"/>
      <c r="CK223"/>
      <c r="CL223"/>
      <c r="CM223"/>
      <c r="CN223" s="290" t="s">
        <v>393</v>
      </c>
      <c r="CO223" s="291">
        <f>CT218*CT221+CU218*CU221+CV218*CV221</f>
        <v>17219.939531772576</v>
      </c>
      <c r="CP223"/>
      <c r="CQ223"/>
      <c r="CR223"/>
      <c r="CS223"/>
      <c r="CT223"/>
      <c r="CU223"/>
      <c r="CV223"/>
    </row>
    <row r="224" spans="81:107" ht="30">
      <c r="CC224" s="309" t="s">
        <v>394</v>
      </c>
      <c r="CD224" s="292">
        <f>CJ219*CJ221+CK219*CK221</f>
        <v>806.55304347826086</v>
      </c>
      <c r="CE224"/>
      <c r="CF224"/>
      <c r="CG224"/>
      <c r="CH224"/>
      <c r="CI224"/>
      <c r="CJ224"/>
      <c r="CK224"/>
      <c r="CL224"/>
      <c r="CM224"/>
      <c r="CN224" s="309" t="s">
        <v>394</v>
      </c>
      <c r="CO224" s="292">
        <f>CU219*CU221+CV219*CV221</f>
        <v>806.55304347826086</v>
      </c>
      <c r="CP224"/>
      <c r="CQ224"/>
      <c r="CR224"/>
      <c r="CS224"/>
      <c r="CT224"/>
      <c r="CU224"/>
      <c r="CV224"/>
    </row>
  </sheetData>
  <sheetProtection password="B310" sheet="1" objects="1" scenarios="1"/>
  <protectedRanges>
    <protectedRange sqref="C46:C47" name="Range14"/>
    <protectedRange sqref="D10:H48" name="Range13"/>
    <protectedRange sqref="C25:C30" name="Range11"/>
    <protectedRange sqref="C16:C23" name="Range10"/>
    <protectedRange sqref="O22:Q23" name="Range9"/>
    <protectedRange sqref="E4:E6" name="Range1"/>
    <protectedRange sqref="E99:F99" name="Range5"/>
    <protectedRange sqref="H99:I99" name="Range6"/>
    <protectedRange sqref="C101:C102" name="Range7"/>
    <protectedRange sqref="C104:C105" name="Range8"/>
    <protectedRange sqref="K4:K48" name="Range12"/>
  </protectedRanges>
  <phoneticPr fontId="0" type="noConversion"/>
  <conditionalFormatting sqref="O5">
    <cfRule type="cellIs" dxfId="2" priority="3" operator="lessThan">
      <formula>0</formula>
    </cfRule>
  </conditionalFormatting>
  <conditionalFormatting sqref="P5">
    <cfRule type="cellIs" dxfId="1" priority="2" operator="lessThan">
      <formula>0</formula>
    </cfRule>
  </conditionalFormatting>
  <conditionalFormatting sqref="Q5">
    <cfRule type="cellIs" dxfId="0" priority="1" operator="lessThan">
      <formula>0</formula>
    </cfRule>
  </conditionalFormatting>
  <dataValidations count="1">
    <dataValidation type="list" allowBlank="1" showInputMessage="1" showErrorMessage="1" sqref="C17:C21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horizontalDpi="300" verticalDpi="300" r:id="rId1"/>
  <headerFooter alignWithMargins="0"/>
  <rowBreaks count="1" manualBreakCount="1">
    <brk id="52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P101"/>
  <sheetViews>
    <sheetView zoomScale="120" zoomScaleNormal="120" zoomScaleSheetLayoutView="100" workbookViewId="0">
      <selection activeCell="H24" sqref="H24"/>
    </sheetView>
  </sheetViews>
  <sheetFormatPr defaultRowHeight="14.25"/>
  <cols>
    <col min="1" max="1" width="0.42578125" style="3" customWidth="1"/>
    <col min="2" max="2" width="2.7109375" style="3" bestFit="1" customWidth="1"/>
    <col min="3" max="3" width="6.7109375" style="3" customWidth="1"/>
    <col min="4" max="4" width="21.28515625" style="3" customWidth="1"/>
    <col min="5" max="5" width="6.42578125" style="3" customWidth="1"/>
    <col min="6" max="6" width="10" style="3" customWidth="1"/>
    <col min="7" max="7" width="8.7109375" style="3" bestFit="1" customWidth="1"/>
    <col min="8" max="8" width="10" style="3" customWidth="1"/>
    <col min="9" max="9" width="11.5703125" style="3" customWidth="1"/>
    <col min="10" max="10" width="11.140625" style="3" customWidth="1"/>
    <col min="11" max="11" width="13.140625" style="3" customWidth="1"/>
    <col min="12" max="12" width="11.42578125" style="3" customWidth="1"/>
    <col min="13" max="13" width="2.42578125" style="3" customWidth="1"/>
    <col min="14" max="14" width="10.5703125" style="2" customWidth="1"/>
    <col min="15" max="15" width="5.5703125" style="3" customWidth="1"/>
    <col min="16" max="16384" width="9.140625" style="3"/>
  </cols>
  <sheetData>
    <row r="1" spans="2:16" ht="23.25">
      <c r="C1" s="82" t="s">
        <v>469</v>
      </c>
    </row>
    <row r="3" spans="2:16" ht="15.75" thickBot="1">
      <c r="C3" s="89" t="s">
        <v>197</v>
      </c>
      <c r="D3" s="89"/>
      <c r="E3" s="89"/>
      <c r="F3" s="89"/>
      <c r="G3" s="30"/>
      <c r="H3" s="30"/>
      <c r="N3" s="81" t="s">
        <v>0</v>
      </c>
    </row>
    <row r="4" spans="2:16" ht="15.75" thickBot="1">
      <c r="C4" s="90" t="s">
        <v>137</v>
      </c>
      <c r="D4" s="90"/>
      <c r="E4" s="90"/>
      <c r="F4" s="98">
        <v>2018</v>
      </c>
      <c r="G4" s="261"/>
      <c r="H4" s="261" t="s">
        <v>280</v>
      </c>
      <c r="I4" s="261"/>
      <c r="J4" s="230">
        <f>(F22*F10*((F8+F15)/2))/((F9-F20)*F15)</f>
        <v>2.9140502354788067</v>
      </c>
      <c r="K4" s="3" t="s">
        <v>313</v>
      </c>
      <c r="N4" s="26" t="s">
        <v>246</v>
      </c>
      <c r="O4" s="186"/>
      <c r="P4" s="2" t="s">
        <v>325</v>
      </c>
    </row>
    <row r="5" spans="2:16" ht="15.75" thickBot="1">
      <c r="C5" s="90" t="s">
        <v>201</v>
      </c>
      <c r="D5" s="90"/>
      <c r="E5" s="90"/>
      <c r="F5" s="98" t="s">
        <v>296</v>
      </c>
      <c r="G5" s="261"/>
      <c r="H5" s="262" t="s">
        <v>297</v>
      </c>
      <c r="I5" s="261"/>
      <c r="J5" s="229">
        <f>F8/F15-1</f>
        <v>2.0408163265306145E-2</v>
      </c>
      <c r="K5" s="105"/>
      <c r="N5" s="25"/>
    </row>
    <row r="6" spans="2:16" ht="15">
      <c r="C6" s="16"/>
      <c r="D6" s="16"/>
      <c r="E6" s="16"/>
      <c r="F6" s="214"/>
      <c r="N6" s="25"/>
    </row>
    <row r="7" spans="2:16" ht="15">
      <c r="C7" s="16"/>
      <c r="D7" s="16"/>
      <c r="E7" s="16"/>
      <c r="F7" s="214"/>
      <c r="N7" s="25"/>
    </row>
    <row r="8" spans="2:16" ht="15">
      <c r="C8" s="16" t="s">
        <v>278</v>
      </c>
      <c r="F8" s="216">
        <v>150</v>
      </c>
      <c r="G8" s="3" t="s">
        <v>199</v>
      </c>
      <c r="N8" s="25"/>
    </row>
    <row r="9" spans="2:16" ht="15">
      <c r="C9" s="16" t="s">
        <v>279</v>
      </c>
      <c r="F9" s="216">
        <v>102</v>
      </c>
      <c r="G9" s="3" t="s">
        <v>277</v>
      </c>
      <c r="N9" s="25"/>
    </row>
    <row r="10" spans="2:16" ht="15">
      <c r="C10" s="16" t="s">
        <v>292</v>
      </c>
      <c r="F10" s="216">
        <v>90</v>
      </c>
      <c r="G10" s="3" t="s">
        <v>298</v>
      </c>
      <c r="N10" s="25"/>
    </row>
    <row r="11" spans="2:16">
      <c r="N11" s="25"/>
    </row>
    <row r="12" spans="2:16">
      <c r="N12" s="26"/>
    </row>
    <row r="13" spans="2:16" ht="30">
      <c r="E13" s="150"/>
      <c r="F13" s="123" t="s">
        <v>3</v>
      </c>
      <c r="G13" s="125" t="s">
        <v>4</v>
      </c>
      <c r="H13" s="123" t="s">
        <v>5</v>
      </c>
      <c r="I13" s="125" t="s">
        <v>4</v>
      </c>
      <c r="J13" s="123" t="s">
        <v>274</v>
      </c>
      <c r="K13" s="123" t="s">
        <v>275</v>
      </c>
      <c r="L13" s="123" t="s">
        <v>276</v>
      </c>
      <c r="N13" s="26"/>
    </row>
    <row r="14" spans="2:16" ht="15.75" thickBot="1">
      <c r="B14" s="32" t="s">
        <v>6</v>
      </c>
      <c r="C14" s="33" t="s">
        <v>7</v>
      </c>
      <c r="D14" s="34"/>
      <c r="E14" s="35"/>
      <c r="F14" s="4"/>
      <c r="G14" s="4"/>
      <c r="H14" s="4"/>
      <c r="I14" s="4"/>
      <c r="J14" s="166"/>
      <c r="K14" s="166"/>
      <c r="L14" s="166"/>
      <c r="N14" s="27"/>
    </row>
    <row r="15" spans="2:16" ht="15">
      <c r="B15" s="5" t="s">
        <v>8</v>
      </c>
      <c r="C15" s="36" t="s">
        <v>195</v>
      </c>
      <c r="E15" s="37"/>
      <c r="F15" s="83">
        <v>147</v>
      </c>
      <c r="G15" s="6" t="s">
        <v>199</v>
      </c>
      <c r="H15" s="215">
        <v>200</v>
      </c>
      <c r="I15" s="6" t="s">
        <v>21</v>
      </c>
      <c r="J15" s="84">
        <f>F15*H15*F9</f>
        <v>2998800</v>
      </c>
      <c r="K15" s="40">
        <f>J15/$F$15</f>
        <v>20400</v>
      </c>
      <c r="L15" s="167">
        <f>J15/($F$15*$F$9)</f>
        <v>200</v>
      </c>
      <c r="N15" s="26"/>
    </row>
    <row r="16" spans="2:16" ht="15">
      <c r="B16" s="5" t="s">
        <v>11</v>
      </c>
      <c r="C16" s="29" t="s">
        <v>19</v>
      </c>
      <c r="E16" s="151"/>
      <c r="F16" s="88">
        <f>F15*0.5</f>
        <v>73.5</v>
      </c>
      <c r="G16" s="16" t="s">
        <v>207</v>
      </c>
      <c r="H16" s="225">
        <v>500</v>
      </c>
      <c r="I16" s="16" t="s">
        <v>281</v>
      </c>
      <c r="J16" s="84">
        <f>F16*H16</f>
        <v>36750</v>
      </c>
      <c r="K16" s="40">
        <f t="shared" ref="K16:K17" si="0">J16/$F$15</f>
        <v>250</v>
      </c>
      <c r="L16" s="167">
        <f t="shared" ref="L16:L17" si="1">J16/($F$15*$F$9)</f>
        <v>2.4509803921568629</v>
      </c>
      <c r="N16" s="26"/>
    </row>
    <row r="17" spans="2:14" ht="15.75" thickBot="1">
      <c r="B17" s="5" t="s">
        <v>22</v>
      </c>
      <c r="C17" s="29" t="s">
        <v>196</v>
      </c>
      <c r="E17" s="39"/>
      <c r="F17" s="51">
        <v>147</v>
      </c>
      <c r="G17" s="4" t="s">
        <v>199</v>
      </c>
      <c r="H17" s="225">
        <v>1000</v>
      </c>
      <c r="I17" s="4" t="s">
        <v>210</v>
      </c>
      <c r="J17" s="84">
        <f>F17*H17</f>
        <v>147000</v>
      </c>
      <c r="K17" s="40">
        <f t="shared" si="0"/>
        <v>1000</v>
      </c>
      <c r="L17" s="167">
        <f t="shared" si="1"/>
        <v>9.8039215686274517</v>
      </c>
      <c r="N17" s="26"/>
    </row>
    <row r="18" spans="2:14" ht="15.75" thickBot="1">
      <c r="B18" s="41"/>
      <c r="C18" s="42" t="s">
        <v>46</v>
      </c>
      <c r="D18" s="43"/>
      <c r="E18" s="43"/>
      <c r="F18" s="44"/>
      <c r="G18" s="45"/>
      <c r="H18" s="44"/>
      <c r="I18" s="45"/>
      <c r="J18" s="196">
        <f>SUM(J15:J17)</f>
        <v>3182550</v>
      </c>
      <c r="K18" s="46">
        <f>SUM(K15:K17)</f>
        <v>21650</v>
      </c>
      <c r="L18" s="169">
        <f>SUM(L15:L17)</f>
        <v>212.25490196078431</v>
      </c>
      <c r="N18" s="26"/>
    </row>
    <row r="19" spans="2:14" ht="15">
      <c r="B19" s="47" t="s">
        <v>13</v>
      </c>
      <c r="C19" s="29" t="s">
        <v>14</v>
      </c>
      <c r="E19" s="48"/>
      <c r="F19" s="8"/>
      <c r="H19" s="8"/>
      <c r="J19" s="8"/>
      <c r="K19" s="49"/>
      <c r="L19" s="178"/>
      <c r="N19" s="26"/>
    </row>
    <row r="20" spans="2:14">
      <c r="B20" s="5" t="s">
        <v>8</v>
      </c>
      <c r="C20" s="4" t="s">
        <v>318</v>
      </c>
      <c r="E20" s="65"/>
      <c r="F20" s="50">
        <v>24</v>
      </c>
      <c r="G20" s="4" t="s">
        <v>277</v>
      </c>
      <c r="H20" s="51">
        <v>270</v>
      </c>
      <c r="I20" s="4" t="s">
        <v>21</v>
      </c>
      <c r="J20" s="8">
        <f>F20*H20*F8</f>
        <v>972000</v>
      </c>
      <c r="K20" s="49">
        <f>J20/$F$15</f>
        <v>6612.2448979591836</v>
      </c>
      <c r="L20" s="178">
        <f>J20/($F$15*$F$9)</f>
        <v>64.825930372148861</v>
      </c>
      <c r="N20" s="26"/>
    </row>
    <row r="21" spans="2:14">
      <c r="B21" s="10" t="s">
        <v>11</v>
      </c>
      <c r="C21" s="3" t="s">
        <v>291</v>
      </c>
      <c r="E21" s="65"/>
      <c r="F21" s="165"/>
      <c r="G21" s="4"/>
      <c r="H21" s="9"/>
      <c r="I21" s="4"/>
      <c r="J21" s="8"/>
      <c r="K21" s="49"/>
      <c r="L21" s="178"/>
      <c r="N21" s="26"/>
    </row>
    <row r="22" spans="2:14" ht="15">
      <c r="B22" s="10"/>
      <c r="C22" s="161" t="s">
        <v>299</v>
      </c>
      <c r="D22" s="162"/>
      <c r="E22" s="162"/>
      <c r="F22" s="227">
        <f>SUM(F23:F36)</f>
        <v>2.5</v>
      </c>
      <c r="G22" s="3" t="s">
        <v>232</v>
      </c>
      <c r="H22" s="4"/>
      <c r="I22" s="4"/>
      <c r="J22" s="8"/>
      <c r="K22" s="49"/>
      <c r="L22" s="178"/>
      <c r="N22" s="26"/>
    </row>
    <row r="23" spans="2:14">
      <c r="D23" s="4" t="s">
        <v>211</v>
      </c>
      <c r="E23" s="65"/>
      <c r="F23" s="99">
        <v>2</v>
      </c>
      <c r="G23" s="3" t="s">
        <v>232</v>
      </c>
      <c r="H23" s="66">
        <v>70</v>
      </c>
      <c r="I23" s="3" t="s">
        <v>21</v>
      </c>
      <c r="J23" s="8">
        <f t="shared" ref="J23:J36" si="2">F23*H23*(($F$8+$F$15)/2)*$F$10</f>
        <v>1871100</v>
      </c>
      <c r="K23" s="49">
        <f t="shared" ref="K23:K41" si="3">J23/$F$15</f>
        <v>12728.571428571429</v>
      </c>
      <c r="L23" s="178">
        <f t="shared" ref="L23:L41" si="4">J23/($F$15*$F$9)</f>
        <v>124.78991596638656</v>
      </c>
      <c r="N23" s="26"/>
    </row>
    <row r="24" spans="2:14">
      <c r="D24" s="3" t="s">
        <v>212</v>
      </c>
      <c r="E24" s="65"/>
      <c r="F24" s="99"/>
      <c r="G24" s="3" t="s">
        <v>232</v>
      </c>
      <c r="H24" s="66"/>
      <c r="I24" s="3" t="s">
        <v>21</v>
      </c>
      <c r="J24" s="8">
        <f t="shared" si="2"/>
        <v>0</v>
      </c>
      <c r="K24" s="49">
        <f t="shared" si="3"/>
        <v>0</v>
      </c>
      <c r="L24" s="178">
        <f t="shared" si="4"/>
        <v>0</v>
      </c>
      <c r="N24" s="26"/>
    </row>
    <row r="25" spans="2:14">
      <c r="D25" s="3" t="s">
        <v>290</v>
      </c>
      <c r="E25" s="65"/>
      <c r="F25" s="99">
        <v>0.5</v>
      </c>
      <c r="G25" s="3" t="s">
        <v>232</v>
      </c>
      <c r="H25" s="66">
        <v>17</v>
      </c>
      <c r="I25" s="3" t="s">
        <v>21</v>
      </c>
      <c r="J25" s="8">
        <f t="shared" si="2"/>
        <v>113602.5</v>
      </c>
      <c r="K25" s="49">
        <f t="shared" si="3"/>
        <v>772.80612244897964</v>
      </c>
      <c r="L25" s="178">
        <f t="shared" si="4"/>
        <v>7.5765306122448983</v>
      </c>
      <c r="N25" s="26"/>
    </row>
    <row r="26" spans="2:14">
      <c r="D26" s="3" t="s">
        <v>217</v>
      </c>
      <c r="E26" s="65"/>
      <c r="F26" s="99"/>
      <c r="G26" s="3" t="s">
        <v>232</v>
      </c>
      <c r="H26" s="66"/>
      <c r="I26" s="3" t="s">
        <v>21</v>
      </c>
      <c r="J26" s="8">
        <f t="shared" si="2"/>
        <v>0</v>
      </c>
      <c r="K26" s="49">
        <f t="shared" si="3"/>
        <v>0</v>
      </c>
      <c r="L26" s="178">
        <f t="shared" si="4"/>
        <v>0</v>
      </c>
      <c r="N26" s="26"/>
    </row>
    <row r="27" spans="2:14">
      <c r="D27" s="3" t="s">
        <v>182</v>
      </c>
      <c r="E27" s="31"/>
      <c r="F27" s="99"/>
      <c r="G27" s="3" t="s">
        <v>232</v>
      </c>
      <c r="H27" s="66"/>
      <c r="I27" s="3" t="s">
        <v>21</v>
      </c>
      <c r="J27" s="8">
        <f t="shared" si="2"/>
        <v>0</v>
      </c>
      <c r="K27" s="49">
        <f t="shared" si="3"/>
        <v>0</v>
      </c>
      <c r="L27" s="178">
        <f t="shared" si="4"/>
        <v>0</v>
      </c>
      <c r="N27" s="26"/>
    </row>
    <row r="28" spans="2:14">
      <c r="D28" s="17" t="s">
        <v>213</v>
      </c>
      <c r="E28" s="65"/>
      <c r="F28" s="99"/>
      <c r="G28" s="3" t="s">
        <v>232</v>
      </c>
      <c r="H28" s="99"/>
      <c r="I28" s="3" t="s">
        <v>21</v>
      </c>
      <c r="J28" s="8">
        <f t="shared" si="2"/>
        <v>0</v>
      </c>
      <c r="K28" s="49">
        <f t="shared" si="3"/>
        <v>0</v>
      </c>
      <c r="L28" s="178">
        <f t="shared" si="4"/>
        <v>0</v>
      </c>
      <c r="N28" s="26"/>
    </row>
    <row r="29" spans="2:14">
      <c r="D29" s="4" t="s">
        <v>294</v>
      </c>
      <c r="E29" s="65"/>
      <c r="F29" s="99"/>
      <c r="G29" s="3" t="s">
        <v>232</v>
      </c>
      <c r="H29" s="51"/>
      <c r="I29" s="3" t="s">
        <v>21</v>
      </c>
      <c r="J29" s="8">
        <f t="shared" si="2"/>
        <v>0</v>
      </c>
      <c r="K29" s="49">
        <f t="shared" si="3"/>
        <v>0</v>
      </c>
      <c r="L29" s="178">
        <f t="shared" si="4"/>
        <v>0</v>
      </c>
      <c r="N29" s="26"/>
    </row>
    <row r="30" spans="2:14">
      <c r="D30" s="181" t="s">
        <v>295</v>
      </c>
      <c r="E30" s="65"/>
      <c r="F30" s="99"/>
      <c r="G30" s="3" t="s">
        <v>232</v>
      </c>
      <c r="H30" s="51"/>
      <c r="I30" s="3" t="s">
        <v>21</v>
      </c>
      <c r="J30" s="8">
        <f t="shared" si="2"/>
        <v>0</v>
      </c>
      <c r="K30" s="49">
        <f t="shared" si="3"/>
        <v>0</v>
      </c>
      <c r="L30" s="178">
        <f t="shared" si="4"/>
        <v>0</v>
      </c>
      <c r="N30" s="26"/>
    </row>
    <row r="31" spans="2:14">
      <c r="D31" s="4" t="s">
        <v>293</v>
      </c>
      <c r="E31" s="65"/>
      <c r="F31" s="99"/>
      <c r="G31" s="3" t="s">
        <v>232</v>
      </c>
      <c r="H31" s="51"/>
      <c r="I31" s="3" t="s">
        <v>21</v>
      </c>
      <c r="J31" s="8">
        <f t="shared" si="2"/>
        <v>0</v>
      </c>
      <c r="K31" s="49">
        <f t="shared" si="3"/>
        <v>0</v>
      </c>
      <c r="L31" s="178">
        <f t="shared" si="4"/>
        <v>0</v>
      </c>
      <c r="N31" s="26"/>
    </row>
    <row r="32" spans="2:14">
      <c r="D32" s="181" t="s">
        <v>221</v>
      </c>
      <c r="E32" s="65"/>
      <c r="F32" s="99"/>
      <c r="G32" s="3" t="s">
        <v>232</v>
      </c>
      <c r="H32" s="51"/>
      <c r="I32" s="3" t="s">
        <v>21</v>
      </c>
      <c r="J32" s="8">
        <f t="shared" si="2"/>
        <v>0</v>
      </c>
      <c r="K32" s="49">
        <f t="shared" si="3"/>
        <v>0</v>
      </c>
      <c r="L32" s="178">
        <f t="shared" si="4"/>
        <v>0</v>
      </c>
      <c r="N32" s="26"/>
    </row>
    <row r="33" spans="2:14">
      <c r="D33" s="52"/>
      <c r="E33" s="65"/>
      <c r="F33" s="99"/>
      <c r="G33" s="3" t="s">
        <v>232</v>
      </c>
      <c r="H33" s="51"/>
      <c r="I33" s="3" t="s">
        <v>21</v>
      </c>
      <c r="J33" s="8">
        <f t="shared" si="2"/>
        <v>0</v>
      </c>
      <c r="K33" s="49">
        <f t="shared" si="3"/>
        <v>0</v>
      </c>
      <c r="L33" s="178">
        <f t="shared" si="4"/>
        <v>0</v>
      </c>
      <c r="N33" s="26"/>
    </row>
    <row r="34" spans="2:14">
      <c r="D34" s="52"/>
      <c r="E34" s="65"/>
      <c r="F34" s="99"/>
      <c r="G34" s="3" t="s">
        <v>232</v>
      </c>
      <c r="H34" s="51"/>
      <c r="I34" s="3" t="s">
        <v>21</v>
      </c>
      <c r="J34" s="8">
        <f t="shared" si="2"/>
        <v>0</v>
      </c>
      <c r="K34" s="49">
        <f t="shared" si="3"/>
        <v>0</v>
      </c>
      <c r="L34" s="178">
        <f t="shared" si="4"/>
        <v>0</v>
      </c>
      <c r="N34" s="26"/>
    </row>
    <row r="35" spans="2:14">
      <c r="D35" s="52"/>
      <c r="E35" s="65"/>
      <c r="F35" s="99"/>
      <c r="G35" s="3" t="s">
        <v>314</v>
      </c>
      <c r="H35" s="51"/>
      <c r="I35" s="3" t="s">
        <v>21</v>
      </c>
      <c r="J35" s="8">
        <f t="shared" si="2"/>
        <v>0</v>
      </c>
      <c r="K35" s="49">
        <f t="shared" si="3"/>
        <v>0</v>
      </c>
      <c r="L35" s="178">
        <f t="shared" si="4"/>
        <v>0</v>
      </c>
      <c r="N35" s="26"/>
    </row>
    <row r="36" spans="2:14">
      <c r="D36" s="52"/>
      <c r="E36" s="65"/>
      <c r="F36" s="51"/>
      <c r="G36" s="3" t="s">
        <v>232</v>
      </c>
      <c r="H36" s="51"/>
      <c r="I36" s="3" t="s">
        <v>21</v>
      </c>
      <c r="J36" s="8">
        <f t="shared" si="2"/>
        <v>0</v>
      </c>
      <c r="K36" s="49">
        <f t="shared" si="3"/>
        <v>0</v>
      </c>
      <c r="L36" s="178">
        <f t="shared" si="4"/>
        <v>0</v>
      </c>
      <c r="N36" s="26"/>
    </row>
    <row r="37" spans="2:14" ht="16.5">
      <c r="B37" s="10" t="s">
        <v>22</v>
      </c>
      <c r="C37" s="3" t="s">
        <v>268</v>
      </c>
      <c r="E37" s="31"/>
      <c r="F37" s="99">
        <v>10</v>
      </c>
      <c r="G37" s="3" t="s">
        <v>261</v>
      </c>
      <c r="H37" s="51">
        <v>25</v>
      </c>
      <c r="I37" s="3" t="s">
        <v>260</v>
      </c>
      <c r="J37" s="8">
        <f>F37*H37/1000*(($F$8+$F$15)/2)*$F$10</f>
        <v>3341.25</v>
      </c>
      <c r="K37" s="49">
        <f t="shared" si="3"/>
        <v>22.729591836734695</v>
      </c>
      <c r="L37" s="178">
        <f t="shared" si="4"/>
        <v>0.22283913565426169</v>
      </c>
      <c r="N37" s="26"/>
    </row>
    <row r="38" spans="2:14">
      <c r="B38" s="10" t="s">
        <v>30</v>
      </c>
      <c r="C38" s="3" t="s">
        <v>235</v>
      </c>
      <c r="D38" s="17"/>
      <c r="E38" s="39"/>
      <c r="F38" s="165"/>
      <c r="H38" s="51">
        <v>500</v>
      </c>
      <c r="I38" s="3" t="s">
        <v>210</v>
      </c>
      <c r="J38" s="8">
        <f>H38*(($F$8+$F$15)/2)</f>
        <v>74250</v>
      </c>
      <c r="K38" s="49">
        <f t="shared" si="3"/>
        <v>505.10204081632651</v>
      </c>
      <c r="L38" s="178">
        <f t="shared" si="4"/>
        <v>4.9519807923169266</v>
      </c>
      <c r="N38" s="26"/>
    </row>
    <row r="39" spans="2:14">
      <c r="B39" s="10" t="s">
        <v>35</v>
      </c>
      <c r="C39" s="67" t="s">
        <v>236</v>
      </c>
      <c r="E39" s="39"/>
      <c r="F39" s="165"/>
      <c r="H39" s="51">
        <v>150</v>
      </c>
      <c r="I39" s="3" t="s">
        <v>210</v>
      </c>
      <c r="J39" s="8">
        <f>H39*(($F$8+$F$15)/2)</f>
        <v>22275</v>
      </c>
      <c r="K39" s="49">
        <f t="shared" si="3"/>
        <v>151.53061224489795</v>
      </c>
      <c r="L39" s="178">
        <f t="shared" si="4"/>
        <v>1.4855942376950779</v>
      </c>
      <c r="N39" s="26"/>
    </row>
    <row r="40" spans="2:14">
      <c r="B40" s="10" t="s">
        <v>40</v>
      </c>
      <c r="C40" s="67" t="s">
        <v>237</v>
      </c>
      <c r="E40" s="31"/>
      <c r="F40" s="165"/>
      <c r="H40" s="51"/>
      <c r="I40" s="3" t="s">
        <v>210</v>
      </c>
      <c r="J40" s="8">
        <f>H40*(($F$8+$F$15)/2)</f>
        <v>0</v>
      </c>
      <c r="K40" s="49">
        <f t="shared" si="3"/>
        <v>0</v>
      </c>
      <c r="L40" s="178">
        <f t="shared" si="4"/>
        <v>0</v>
      </c>
      <c r="N40" s="26"/>
    </row>
    <row r="41" spans="2:14" ht="15" thickBot="1">
      <c r="B41" s="10" t="s">
        <v>60</v>
      </c>
      <c r="C41" s="67" t="s">
        <v>282</v>
      </c>
      <c r="E41" s="31"/>
      <c r="F41" s="4"/>
      <c r="H41" s="182">
        <v>0.1</v>
      </c>
      <c r="I41" s="10" t="s">
        <v>238</v>
      </c>
      <c r="J41" s="8">
        <f>SUM(J20:J40)*H41*0.5</f>
        <v>152828.4375</v>
      </c>
      <c r="K41" s="49">
        <f t="shared" si="3"/>
        <v>1039.6492346938776</v>
      </c>
      <c r="L41" s="178">
        <f t="shared" si="4"/>
        <v>10.192639555822328</v>
      </c>
      <c r="N41" s="26" t="s">
        <v>342</v>
      </c>
    </row>
    <row r="42" spans="2:14" ht="15.75" thickBot="1">
      <c r="B42" s="41"/>
      <c r="C42" s="42" t="s">
        <v>101</v>
      </c>
      <c r="D42" s="43"/>
      <c r="E42" s="43"/>
      <c r="F42" s="44"/>
      <c r="G42" s="45"/>
      <c r="H42" s="44"/>
      <c r="I42" s="45"/>
      <c r="J42" s="196">
        <f>SUM(J20:J41)</f>
        <v>3209397.1875</v>
      </c>
      <c r="K42" s="46">
        <f>SUM(K20:K41)</f>
        <v>21832.633928571428</v>
      </c>
      <c r="L42" s="169">
        <f>SUM(L20:L41)</f>
        <v>214.04543067226891</v>
      </c>
      <c r="N42" s="26"/>
    </row>
    <row r="43" spans="2:14" ht="15.75" thickBot="1">
      <c r="B43" s="70" t="s">
        <v>103</v>
      </c>
      <c r="C43" s="71" t="s">
        <v>102</v>
      </c>
      <c r="D43" s="71"/>
      <c r="E43" s="72"/>
      <c r="F43" s="72"/>
      <c r="G43" s="72"/>
      <c r="H43" s="73"/>
      <c r="I43" s="72"/>
      <c r="J43" s="77">
        <f>J18-J42</f>
        <v>-26847.1875</v>
      </c>
      <c r="K43" s="28">
        <f>K18-K42</f>
        <v>-182.63392857142753</v>
      </c>
      <c r="L43" s="189">
        <f>L18-L42</f>
        <v>-1.7905287114845976</v>
      </c>
      <c r="N43" s="26"/>
    </row>
    <row r="44" spans="2:14" ht="15" thickTop="1">
      <c r="N44" s="64"/>
    </row>
    <row r="46" spans="2:14" ht="15.75" thickBot="1">
      <c r="C46" s="89" t="s">
        <v>270</v>
      </c>
      <c r="D46" s="90"/>
      <c r="E46" s="90"/>
      <c r="F46" s="90"/>
      <c r="G46" s="16"/>
      <c r="H46" s="16"/>
    </row>
    <row r="47" spans="2:14" ht="15" thickBot="1"/>
    <row r="48" spans="2:14" ht="15.75" thickTop="1">
      <c r="C48" s="74" t="s">
        <v>7</v>
      </c>
      <c r="D48" s="75"/>
      <c r="E48" s="75"/>
      <c r="F48" s="76" t="s">
        <v>250</v>
      </c>
    </row>
    <row r="49" spans="2:6">
      <c r="C49" s="53" t="s">
        <v>195</v>
      </c>
      <c r="F49" s="8">
        <f>K15</f>
        <v>20400</v>
      </c>
    </row>
    <row r="50" spans="2:6">
      <c r="C50" s="53" t="s">
        <v>301</v>
      </c>
      <c r="F50" s="8">
        <f t="shared" ref="F50:F51" si="5">K16</f>
        <v>250</v>
      </c>
    </row>
    <row r="51" spans="2:6" ht="15" thickBot="1">
      <c r="C51" s="54" t="s">
        <v>240</v>
      </c>
      <c r="F51" s="8">
        <f t="shared" si="5"/>
        <v>1000</v>
      </c>
    </row>
    <row r="52" spans="2:6" ht="15.75" thickBot="1">
      <c r="B52" s="55"/>
      <c r="C52" s="42" t="s">
        <v>46</v>
      </c>
      <c r="D52" s="43"/>
      <c r="E52" s="43"/>
      <c r="F52" s="56">
        <f>SUM(F49:F51)</f>
        <v>21650</v>
      </c>
    </row>
    <row r="53" spans="2:6" ht="15">
      <c r="B53" s="55"/>
      <c r="C53" s="29" t="s">
        <v>14</v>
      </c>
      <c r="F53" s="8"/>
    </row>
    <row r="54" spans="2:6">
      <c r="C54" s="54" t="s">
        <v>302</v>
      </c>
      <c r="F54" s="8">
        <f>K20</f>
        <v>6612.2448979591836</v>
      </c>
    </row>
    <row r="55" spans="2:6">
      <c r="C55" s="54" t="s">
        <v>303</v>
      </c>
      <c r="F55" s="8">
        <f>SUM(K23:K36)</f>
        <v>13501.377551020409</v>
      </c>
    </row>
    <row r="56" spans="2:6">
      <c r="C56" s="54" t="s">
        <v>231</v>
      </c>
      <c r="F56" s="8">
        <f>K37</f>
        <v>22.729591836734695</v>
      </c>
    </row>
    <row r="57" spans="2:6">
      <c r="C57" s="54" t="s">
        <v>235</v>
      </c>
      <c r="F57" s="8">
        <f t="shared" ref="F57:F60" si="6">K38</f>
        <v>505.10204081632651</v>
      </c>
    </row>
    <row r="58" spans="2:6">
      <c r="C58" s="54" t="s">
        <v>236</v>
      </c>
      <c r="F58" s="8">
        <f t="shared" si="6"/>
        <v>151.53061224489795</v>
      </c>
    </row>
    <row r="59" spans="2:6">
      <c r="C59" s="54" t="s">
        <v>237</v>
      </c>
      <c r="F59" s="8">
        <f t="shared" si="6"/>
        <v>0</v>
      </c>
    </row>
    <row r="60" spans="2:6" ht="15" thickBot="1">
      <c r="C60" s="54" t="s">
        <v>282</v>
      </c>
      <c r="F60" s="8">
        <f t="shared" si="6"/>
        <v>1039.6492346938776</v>
      </c>
    </row>
    <row r="61" spans="2:6" ht="15.75" thickBot="1">
      <c r="C61" s="42" t="s">
        <v>101</v>
      </c>
      <c r="D61" s="43"/>
      <c r="E61" s="43"/>
      <c r="F61" s="56">
        <f>SUM(F54:F60)</f>
        <v>21832.633928571428</v>
      </c>
    </row>
    <row r="62" spans="2:6" ht="15.75" thickBot="1">
      <c r="C62" s="71" t="s">
        <v>42</v>
      </c>
      <c r="D62" s="72"/>
      <c r="E62" s="72"/>
      <c r="F62" s="77">
        <f>F52-F61</f>
        <v>-182.63392857142753</v>
      </c>
    </row>
    <row r="63" spans="2:6" ht="15.75" thickTop="1">
      <c r="C63" s="96"/>
      <c r="D63" s="97"/>
      <c r="E63" s="97"/>
      <c r="F63" s="63"/>
    </row>
    <row r="92" spans="4:12" ht="15.75" thickBot="1">
      <c r="D92" s="89" t="s">
        <v>304</v>
      </c>
      <c r="E92" s="90"/>
      <c r="F92" s="90"/>
      <c r="G92" s="90"/>
      <c r="H92" s="90"/>
      <c r="I92" s="90"/>
      <c r="J92" s="90"/>
      <c r="K92" s="16"/>
      <c r="L92" s="16"/>
    </row>
    <row r="94" spans="4:12" ht="15.75" thickBot="1">
      <c r="D94" s="12"/>
      <c r="E94" s="13"/>
      <c r="F94" s="14"/>
      <c r="G94" s="57"/>
      <c r="H94" s="259" t="s">
        <v>160</v>
      </c>
      <c r="I94" s="57"/>
      <c r="J94" s="79"/>
      <c r="K94" s="30"/>
      <c r="L94" s="30"/>
    </row>
    <row r="95" spans="4:12">
      <c r="D95" s="15"/>
      <c r="E95" s="16"/>
      <c r="F95" s="154">
        <v>-0.2</v>
      </c>
      <c r="G95" s="154">
        <v>-0.1</v>
      </c>
      <c r="H95" s="59" t="s">
        <v>110</v>
      </c>
      <c r="I95" s="154">
        <v>0.1</v>
      </c>
      <c r="J95" s="155">
        <v>0.2</v>
      </c>
      <c r="K95" s="58"/>
      <c r="L95" s="58"/>
    </row>
    <row r="96" spans="4:12" ht="15.75" thickBot="1">
      <c r="D96" s="258" t="s">
        <v>305</v>
      </c>
      <c r="E96" s="61"/>
      <c r="F96" s="240">
        <f>H96*(1+F95)</f>
        <v>160</v>
      </c>
      <c r="G96" s="240">
        <f>H96*(1+G95)</f>
        <v>180</v>
      </c>
      <c r="H96" s="240">
        <f>H15</f>
        <v>200</v>
      </c>
      <c r="I96" s="241">
        <f>$H$96*(1+I95)</f>
        <v>220.00000000000003</v>
      </c>
      <c r="J96" s="242">
        <f>$H$96*(1+J95)</f>
        <v>240</v>
      </c>
      <c r="K96" s="93"/>
      <c r="L96" s="93"/>
    </row>
    <row r="97" spans="4:12" ht="15">
      <c r="D97" s="152">
        <v>-0.2</v>
      </c>
      <c r="E97" s="62">
        <f>$E$99*(1+D97)</f>
        <v>81.600000000000009</v>
      </c>
      <c r="F97" s="88">
        <f>$H$97-$E$97*($H$96-F96)</f>
        <v>-7526.6339285714257</v>
      </c>
      <c r="G97" s="88">
        <f>$H$97-$E$97*($H$96-G96)</f>
        <v>-5894.6339285714257</v>
      </c>
      <c r="H97" s="88">
        <f>$H$99-($E$99-E97)*$H$96</f>
        <v>-4262.6339285714257</v>
      </c>
      <c r="I97" s="84">
        <f>$H$97+$E$97*(I96-$H$96)</f>
        <v>-2630.633928571423</v>
      </c>
      <c r="J97" s="85">
        <f>$H$97+$E$97*(J96-$H$96)</f>
        <v>-998.63392857142526</v>
      </c>
      <c r="K97" s="84"/>
      <c r="L97" s="84"/>
    </row>
    <row r="98" spans="4:12" ht="15">
      <c r="D98" s="152">
        <v>-0.1</v>
      </c>
      <c r="E98" s="62">
        <f>$E$99*(1+D98)</f>
        <v>91.8</v>
      </c>
      <c r="F98" s="88">
        <f>$H$98-$E$98*($H$96-F96)</f>
        <v>-5894.6339285714275</v>
      </c>
      <c r="G98" s="88">
        <f>$H$98-$E$98*($H$96-G96)</f>
        <v>-4058.633928571428</v>
      </c>
      <c r="H98" s="88">
        <f>$H$99-($E$99-E98)*$H$96</f>
        <v>-2222.633928571428</v>
      </c>
      <c r="I98" s="88">
        <f>$H$98+$E$98*(I96-$H$96)</f>
        <v>-386.63392857142549</v>
      </c>
      <c r="J98" s="91">
        <f>$H$98+$E$98*(J96-$H$96)</f>
        <v>1449.366071428572</v>
      </c>
      <c r="K98" s="88"/>
      <c r="L98" s="88"/>
    </row>
    <row r="99" spans="4:12" ht="15">
      <c r="D99" s="18" t="s">
        <v>43</v>
      </c>
      <c r="E99" s="62">
        <f>F9</f>
        <v>102</v>
      </c>
      <c r="F99" s="88">
        <f>$H$99-$E$99*($H$96-F96)</f>
        <v>-4262.6339285714275</v>
      </c>
      <c r="G99" s="88">
        <f>$H$99-$E$99*($H$96-G96)</f>
        <v>-2222.6339285714275</v>
      </c>
      <c r="H99" s="63">
        <f>K43</f>
        <v>-182.63392857142753</v>
      </c>
      <c r="I99" s="84">
        <f>$H$99+$E$99*(I96-$H$96)</f>
        <v>1857.3660714285754</v>
      </c>
      <c r="J99" s="85">
        <f>$H$99+$E$99*(J96-$H$96)</f>
        <v>3897.3660714285725</v>
      </c>
      <c r="K99" s="84"/>
      <c r="L99" s="84"/>
    </row>
    <row r="100" spans="4:12" ht="15">
      <c r="D100" s="152">
        <v>0.1</v>
      </c>
      <c r="E100" s="78">
        <f>$E$99*(1+D100)</f>
        <v>112.2</v>
      </c>
      <c r="F100" s="84">
        <f>$H$100-$E$100*($H$96-F96)</f>
        <v>-2630.6339285714271</v>
      </c>
      <c r="G100" s="84">
        <f>$H$100-$E$100*($H$96-G96)</f>
        <v>-386.63392857142708</v>
      </c>
      <c r="H100" s="88">
        <f>$H$99-($E$99-E100)*$H$96</f>
        <v>1857.3660714285729</v>
      </c>
      <c r="I100" s="84">
        <f>$H$100+$E$100*(I96-$H$96)</f>
        <v>4101.3660714285761</v>
      </c>
      <c r="J100" s="85">
        <f>$H$100+$E$100*(J96-$H$96)</f>
        <v>6345.3660714285725</v>
      </c>
      <c r="K100" s="84"/>
      <c r="L100" s="84"/>
    </row>
    <row r="101" spans="4:12" ht="15">
      <c r="D101" s="153">
        <v>0.2</v>
      </c>
      <c r="E101" s="80">
        <f>$E$99*(1+D101)</f>
        <v>122.39999999999999</v>
      </c>
      <c r="F101" s="86">
        <f>$H$101-$E$101*($H$96-F96)</f>
        <v>-998.63392857142935</v>
      </c>
      <c r="G101" s="86">
        <f>$H$101-$E$101*($H$96-G96)</f>
        <v>1449.3660714285706</v>
      </c>
      <c r="H101" s="95">
        <f>$H$99-($E$99-E101)*$H$96</f>
        <v>3897.3660714285706</v>
      </c>
      <c r="I101" s="86">
        <f>$H$101+$E$101*(I96-$H$96)</f>
        <v>6345.3660714285743</v>
      </c>
      <c r="J101" s="87">
        <f>$H$101+$E$101*(J96-$H$96)</f>
        <v>8793.3660714285706</v>
      </c>
      <c r="K101" s="84"/>
      <c r="L101" s="84"/>
    </row>
  </sheetData>
  <sheetProtection password="B310" sheet="1" objects="1" scenarios="1"/>
  <protectedRanges>
    <protectedRange sqref="F95:G95" name="Range10"/>
    <protectedRange sqref="D100:D101" name="Range9"/>
    <protectedRange sqref="D97:D98" name="Range8"/>
    <protectedRange sqref="I95:J95" name="Range7"/>
    <protectedRange sqref="N4:N43" name="Range6"/>
    <protectedRange sqref="D20:I41" name="Range5"/>
    <protectedRange sqref="F17" name="Range4"/>
    <protectedRange sqref="F15" name="Range3"/>
    <protectedRange sqref="G15:I17" name="Range2"/>
    <protectedRange sqref="F4:F10" name="Range1"/>
  </protectedRanges>
  <conditionalFormatting sqref="J4">
    <cfRule type="cellIs" dxfId="49" priority="1" operator="lessThan">
      <formula>2.5</formula>
    </cfRule>
    <cfRule type="cellIs" dxfId="48" priority="2" operator="greaterThan">
      <formula>3.5</formula>
    </cfRule>
  </conditionalFormatting>
  <pageMargins left="0.19685039370078741" right="0.19685039370078741" top="0.74803149606299213" bottom="0.74803149606299213" header="0.31496062992125984" footer="0.31496062992125984"/>
  <pageSetup paperSize="9" scale="90" orientation="portrait" verticalDpi="0" r:id="rId1"/>
  <rowBreaks count="1" manualBreakCount="1">
    <brk id="45" max="11" man="1"/>
  </rowBreaks>
  <ignoredErrors>
    <ignoredError sqref="F22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Z112"/>
  <sheetViews>
    <sheetView zoomScale="120" zoomScaleNormal="120" zoomScaleSheetLayoutView="100" workbookViewId="0">
      <selection activeCell="H24" sqref="H24"/>
    </sheetView>
  </sheetViews>
  <sheetFormatPr defaultRowHeight="14.25"/>
  <cols>
    <col min="1" max="1" width="0.28515625" style="3" customWidth="1"/>
    <col min="2" max="2" width="2.7109375" style="3" bestFit="1" customWidth="1"/>
    <col min="3" max="3" width="6.7109375" style="3" customWidth="1"/>
    <col min="4" max="4" width="18.140625" style="3" customWidth="1"/>
    <col min="5" max="5" width="7.42578125" style="3" customWidth="1"/>
    <col min="6" max="6" width="9.140625" style="3" bestFit="1" customWidth="1"/>
    <col min="7" max="7" width="9.28515625" style="3" customWidth="1"/>
    <col min="8" max="8" width="10.28515625" style="3" customWidth="1"/>
    <col min="9" max="9" width="9.140625" style="3" customWidth="1"/>
    <col min="10" max="10" width="15.5703125" style="3" customWidth="1"/>
    <col min="11" max="11" width="13.28515625" style="3" customWidth="1"/>
    <col min="12" max="12" width="11.42578125" style="3" customWidth="1"/>
    <col min="13" max="13" width="2.42578125" style="3" customWidth="1"/>
    <col min="14" max="14" width="10.5703125" style="2" customWidth="1"/>
    <col min="15" max="15" width="5.5703125" style="3" customWidth="1"/>
    <col min="16" max="24" width="9.140625" style="3"/>
    <col min="25" max="25" width="18.7109375" style="3" customWidth="1"/>
    <col min="26" max="16384" width="9.140625" style="3"/>
  </cols>
  <sheetData>
    <row r="1" spans="2:16" ht="23.25">
      <c r="C1" s="82" t="s">
        <v>468</v>
      </c>
    </row>
    <row r="3" spans="2:16" ht="15.75" thickBot="1">
      <c r="C3" s="89" t="s">
        <v>222</v>
      </c>
      <c r="D3" s="89"/>
      <c r="E3" s="89"/>
      <c r="F3" s="89"/>
      <c r="G3" s="30"/>
      <c r="H3" s="30"/>
      <c r="N3" s="81" t="s">
        <v>0</v>
      </c>
    </row>
    <row r="4" spans="2:16" ht="15.75" thickBot="1">
      <c r="C4" s="90" t="s">
        <v>137</v>
      </c>
      <c r="D4" s="90"/>
      <c r="E4" s="90"/>
      <c r="F4" s="98">
        <v>2018</v>
      </c>
      <c r="I4" s="3" t="s">
        <v>242</v>
      </c>
      <c r="K4" s="176">
        <f>SUM(F10:F13)/F6</f>
        <v>4475</v>
      </c>
      <c r="N4" s="25"/>
    </row>
    <row r="5" spans="2:16" ht="15">
      <c r="I5" s="3" t="s">
        <v>241</v>
      </c>
      <c r="K5" s="177">
        <f>SUMPRODUCT(F10:F13,H10:H13)/SUM(F10:F13)</f>
        <v>36.173184357541899</v>
      </c>
      <c r="N5" s="25"/>
    </row>
    <row r="6" spans="2:16" ht="15">
      <c r="C6" s="3" t="s">
        <v>361</v>
      </c>
      <c r="F6" s="188">
        <v>2</v>
      </c>
      <c r="N6" s="26"/>
    </row>
    <row r="7" spans="2:16">
      <c r="N7" s="26"/>
    </row>
    <row r="8" spans="2:16" ht="29.25">
      <c r="F8" s="123" t="s">
        <v>3</v>
      </c>
      <c r="G8" s="125" t="s">
        <v>4</v>
      </c>
      <c r="H8" s="123" t="s">
        <v>5</v>
      </c>
      <c r="I8" s="125" t="s">
        <v>4</v>
      </c>
      <c r="J8" s="123" t="s">
        <v>243</v>
      </c>
      <c r="K8" s="123" t="s">
        <v>258</v>
      </c>
      <c r="L8" s="123" t="s">
        <v>259</v>
      </c>
      <c r="N8" s="26"/>
      <c r="P8" s="64"/>
    </row>
    <row r="9" spans="2:16" ht="15.75" thickBot="1">
      <c r="B9" s="32" t="s">
        <v>6</v>
      </c>
      <c r="C9" s="33" t="s">
        <v>7</v>
      </c>
      <c r="D9" s="34"/>
      <c r="E9" s="34"/>
      <c r="F9" s="4"/>
      <c r="G9" s="4"/>
      <c r="H9" s="4"/>
      <c r="I9" s="4"/>
      <c r="J9" s="4"/>
      <c r="K9" s="4"/>
      <c r="L9" s="166"/>
      <c r="N9" s="27"/>
    </row>
    <row r="10" spans="2:16" ht="15">
      <c r="B10" s="5" t="s">
        <v>8</v>
      </c>
      <c r="C10" s="36" t="s">
        <v>204</v>
      </c>
      <c r="F10" s="83">
        <v>6500</v>
      </c>
      <c r="G10" s="6" t="s">
        <v>223</v>
      </c>
      <c r="H10" s="156">
        <v>35</v>
      </c>
      <c r="I10" s="6" t="s">
        <v>34</v>
      </c>
      <c r="J10" s="7">
        <f>F10*H10</f>
        <v>227500</v>
      </c>
      <c r="K10" s="38">
        <f>J10/$F$6</f>
        <v>113750</v>
      </c>
      <c r="L10" s="168">
        <f>J10/SUM($F$10:$F$13)</f>
        <v>25.41899441340782</v>
      </c>
      <c r="N10" s="26" t="s">
        <v>224</v>
      </c>
    </row>
    <row r="11" spans="2:16" ht="15">
      <c r="B11" s="5"/>
      <c r="C11" s="30" t="s">
        <v>358</v>
      </c>
      <c r="F11" s="147">
        <v>700</v>
      </c>
      <c r="G11" s="16" t="s">
        <v>223</v>
      </c>
      <c r="H11" s="157">
        <v>50</v>
      </c>
      <c r="I11" s="16" t="s">
        <v>34</v>
      </c>
      <c r="J11" s="84">
        <f>F11*H11</f>
        <v>35000</v>
      </c>
      <c r="K11" s="40">
        <f t="shared" ref="K11:K16" si="0">J11/$F$6</f>
        <v>17500</v>
      </c>
      <c r="L11" s="168">
        <f t="shared" ref="L11:L16" si="1">J11/SUM($F$10:$F$13)</f>
        <v>3.9106145251396649</v>
      </c>
      <c r="N11" s="26" t="s">
        <v>273</v>
      </c>
    </row>
    <row r="12" spans="2:16" ht="15">
      <c r="B12" s="5"/>
      <c r="C12" s="30" t="s">
        <v>205</v>
      </c>
      <c r="F12" s="147">
        <v>750</v>
      </c>
      <c r="G12" s="16" t="s">
        <v>223</v>
      </c>
      <c r="H12" s="157">
        <v>35</v>
      </c>
      <c r="I12" s="16" t="s">
        <v>34</v>
      </c>
      <c r="J12" s="84">
        <f t="shared" ref="J12:J15" si="2">F12*H12</f>
        <v>26250</v>
      </c>
      <c r="K12" s="40">
        <f t="shared" si="0"/>
        <v>13125</v>
      </c>
      <c r="L12" s="168">
        <f t="shared" si="1"/>
        <v>2.9329608938547485</v>
      </c>
      <c r="N12" s="26"/>
    </row>
    <row r="13" spans="2:16" ht="15">
      <c r="B13" s="5"/>
      <c r="C13" s="30" t="s">
        <v>206</v>
      </c>
      <c r="F13" s="147">
        <v>1000</v>
      </c>
      <c r="G13" s="16" t="s">
        <v>223</v>
      </c>
      <c r="H13" s="157">
        <v>35</v>
      </c>
      <c r="I13" s="16" t="s">
        <v>34</v>
      </c>
      <c r="J13" s="84">
        <f t="shared" si="2"/>
        <v>35000</v>
      </c>
      <c r="K13" s="40">
        <f t="shared" si="0"/>
        <v>17500</v>
      </c>
      <c r="L13" s="168">
        <f t="shared" si="1"/>
        <v>3.9106145251396649</v>
      </c>
      <c r="N13" s="26"/>
    </row>
    <row r="14" spans="2:16" ht="15">
      <c r="B14" s="5" t="s">
        <v>11</v>
      </c>
      <c r="C14" s="30" t="s">
        <v>208</v>
      </c>
      <c r="F14" s="147">
        <v>2</v>
      </c>
      <c r="G14" s="16" t="s">
        <v>199</v>
      </c>
      <c r="H14" s="157">
        <v>18000</v>
      </c>
      <c r="I14" s="16" t="s">
        <v>210</v>
      </c>
      <c r="J14" s="84">
        <f t="shared" si="2"/>
        <v>36000</v>
      </c>
      <c r="K14" s="40">
        <f t="shared" si="0"/>
        <v>18000</v>
      </c>
      <c r="L14" s="168">
        <f t="shared" si="1"/>
        <v>4.022346368715084</v>
      </c>
      <c r="N14" s="26" t="s">
        <v>209</v>
      </c>
    </row>
    <row r="15" spans="2:16" ht="15">
      <c r="B15" s="5" t="s">
        <v>22</v>
      </c>
      <c r="C15" s="29" t="s">
        <v>19</v>
      </c>
      <c r="F15" s="88">
        <f>F6*15</f>
        <v>30</v>
      </c>
      <c r="G15" s="16" t="s">
        <v>207</v>
      </c>
      <c r="H15" s="157">
        <v>1500</v>
      </c>
      <c r="I15" s="16" t="s">
        <v>10</v>
      </c>
      <c r="J15" s="84">
        <f t="shared" si="2"/>
        <v>45000</v>
      </c>
      <c r="K15" s="40">
        <f t="shared" si="0"/>
        <v>22500</v>
      </c>
      <c r="L15" s="168">
        <f t="shared" si="1"/>
        <v>5.027932960893855</v>
      </c>
      <c r="N15" s="26"/>
    </row>
    <row r="16" spans="2:16" ht="15.75" thickBot="1">
      <c r="B16" s="5" t="s">
        <v>30</v>
      </c>
      <c r="C16" s="29" t="s">
        <v>196</v>
      </c>
      <c r="F16" s="51">
        <v>2</v>
      </c>
      <c r="G16" s="4" t="s">
        <v>199</v>
      </c>
      <c r="H16" s="158">
        <v>20000</v>
      </c>
      <c r="I16" s="4" t="s">
        <v>210</v>
      </c>
      <c r="J16" s="9">
        <f>F16*H16</f>
        <v>40000</v>
      </c>
      <c r="K16" s="40">
        <f t="shared" si="0"/>
        <v>20000</v>
      </c>
      <c r="L16" s="168">
        <f t="shared" si="1"/>
        <v>4.4692737430167595</v>
      </c>
      <c r="N16" s="26"/>
    </row>
    <row r="17" spans="2:26" ht="15.75" thickBot="1">
      <c r="B17" s="41"/>
      <c r="C17" s="42" t="s">
        <v>46</v>
      </c>
      <c r="D17" s="43"/>
      <c r="E17" s="43"/>
      <c r="F17" s="44"/>
      <c r="G17" s="45"/>
      <c r="H17" s="44"/>
      <c r="I17" s="45"/>
      <c r="J17" s="46">
        <f>SUM(J10:J16)</f>
        <v>444750</v>
      </c>
      <c r="K17" s="46">
        <f>SUM(K10:K16)</f>
        <v>222375</v>
      </c>
      <c r="L17" s="170">
        <f>SUM(L10:L16)</f>
        <v>49.692737430167597</v>
      </c>
      <c r="N17" s="26"/>
    </row>
    <row r="18" spans="2:26" ht="15">
      <c r="B18" s="47" t="s">
        <v>13</v>
      </c>
      <c r="C18" s="29" t="s">
        <v>14</v>
      </c>
      <c r="F18" s="8"/>
      <c r="H18" s="8"/>
      <c r="K18" s="49"/>
      <c r="L18" s="49"/>
      <c r="N18" s="26"/>
    </row>
    <row r="19" spans="2:26">
      <c r="B19" s="5" t="s">
        <v>8</v>
      </c>
      <c r="C19" s="4" t="s">
        <v>202</v>
      </c>
      <c r="F19" s="185">
        <f>+Z33</f>
        <v>4.6624999999999996</v>
      </c>
      <c r="H19" s="9"/>
      <c r="I19" s="4"/>
      <c r="J19" s="9"/>
      <c r="K19" s="163"/>
      <c r="L19" s="180"/>
      <c r="N19" s="26" t="s">
        <v>246</v>
      </c>
      <c r="O19" s="186"/>
      <c r="P19" s="2" t="s">
        <v>325</v>
      </c>
    </row>
    <row r="20" spans="2:26" ht="15">
      <c r="C20" s="161" t="s">
        <v>233</v>
      </c>
      <c r="D20" s="162"/>
      <c r="E20" s="162"/>
      <c r="F20" s="208">
        <f>SUM(F21:F34)</f>
        <v>6.01</v>
      </c>
      <c r="G20" s="3" t="s">
        <v>232</v>
      </c>
      <c r="H20" s="4"/>
      <c r="I20" s="4"/>
      <c r="J20" s="4"/>
      <c r="K20" s="163"/>
      <c r="L20" s="49"/>
      <c r="N20" s="160" t="s">
        <v>247</v>
      </c>
      <c r="Y20" s="171" t="s">
        <v>248</v>
      </c>
      <c r="Z20" s="187" t="s">
        <v>244</v>
      </c>
    </row>
    <row r="21" spans="2:26">
      <c r="C21" s="11"/>
      <c r="D21" s="67" t="s">
        <v>211</v>
      </c>
      <c r="E21" s="181"/>
      <c r="F21" s="127"/>
      <c r="G21" s="3" t="s">
        <v>232</v>
      </c>
      <c r="H21" s="66"/>
      <c r="I21" s="3" t="s">
        <v>21</v>
      </c>
      <c r="J21" s="8">
        <f>F21*H21*$F$6*300</f>
        <v>0</v>
      </c>
      <c r="K21" s="49">
        <f t="shared" ref="K21:K35" si="3">J21/F$6</f>
        <v>0</v>
      </c>
      <c r="L21" s="179">
        <f>J21/SUM($F$10:$F$13)</f>
        <v>0</v>
      </c>
      <c r="N21" s="26"/>
      <c r="Y21" s="172">
        <v>0.88500000000000001</v>
      </c>
      <c r="Z21" s="183">
        <f>F21*Y21</f>
        <v>0</v>
      </c>
    </row>
    <row r="22" spans="2:26">
      <c r="D22" s="67" t="s">
        <v>212</v>
      </c>
      <c r="E22" s="181"/>
      <c r="F22" s="127">
        <v>3</v>
      </c>
      <c r="G22" s="3" t="s">
        <v>232</v>
      </c>
      <c r="H22" s="66">
        <v>18</v>
      </c>
      <c r="I22" s="3" t="s">
        <v>21</v>
      </c>
      <c r="J22" s="8">
        <f t="shared" ref="J22:J34" si="4">F22*H22*$F$6*300</f>
        <v>32400</v>
      </c>
      <c r="K22" s="49">
        <f t="shared" si="3"/>
        <v>16200</v>
      </c>
      <c r="L22" s="179">
        <f t="shared" ref="L22:L34" si="5">J22/SUM($F$10:$F$13)</f>
        <v>3.6201117318435756</v>
      </c>
      <c r="N22" s="26"/>
      <c r="Y22" s="172">
        <v>0.87</v>
      </c>
      <c r="Z22" s="183">
        <f t="shared" ref="Z22:Z44" si="6">F22*Y22</f>
        <v>2.61</v>
      </c>
    </row>
    <row r="23" spans="2:26">
      <c r="D23" s="67" t="s">
        <v>213</v>
      </c>
      <c r="E23" s="181"/>
      <c r="F23" s="127">
        <v>0.5</v>
      </c>
      <c r="G23" s="3" t="s">
        <v>232</v>
      </c>
      <c r="H23" s="66">
        <v>17</v>
      </c>
      <c r="I23" s="3" t="s">
        <v>21</v>
      </c>
      <c r="J23" s="8">
        <f t="shared" si="4"/>
        <v>5100</v>
      </c>
      <c r="K23" s="49">
        <f t="shared" si="3"/>
        <v>2550</v>
      </c>
      <c r="L23" s="179">
        <f t="shared" si="5"/>
        <v>0.56983240223463683</v>
      </c>
      <c r="N23" s="26"/>
      <c r="Y23" s="172">
        <v>0.87</v>
      </c>
      <c r="Z23" s="183">
        <f t="shared" si="6"/>
        <v>0.435</v>
      </c>
    </row>
    <row r="24" spans="2:26">
      <c r="D24" s="67" t="s">
        <v>214</v>
      </c>
      <c r="E24" s="181"/>
      <c r="F24" s="127"/>
      <c r="G24" s="3" t="s">
        <v>232</v>
      </c>
      <c r="H24" s="66"/>
      <c r="I24" s="3" t="s">
        <v>21</v>
      </c>
      <c r="J24" s="8">
        <f t="shared" si="4"/>
        <v>0</v>
      </c>
      <c r="K24" s="49">
        <f t="shared" si="3"/>
        <v>0</v>
      </c>
      <c r="L24" s="179">
        <f t="shared" si="5"/>
        <v>0</v>
      </c>
      <c r="N24" s="26"/>
      <c r="Y24" s="172">
        <v>0.87</v>
      </c>
      <c r="Z24" s="183">
        <f t="shared" si="6"/>
        <v>0</v>
      </c>
    </row>
    <row r="25" spans="2:26">
      <c r="D25" s="67" t="s">
        <v>215</v>
      </c>
      <c r="E25" s="181"/>
      <c r="F25" s="127"/>
      <c r="G25" s="3" t="s">
        <v>232</v>
      </c>
      <c r="H25" s="66"/>
      <c r="I25" s="3" t="s">
        <v>21</v>
      </c>
      <c r="J25" s="8">
        <f t="shared" si="4"/>
        <v>0</v>
      </c>
      <c r="K25" s="49">
        <f t="shared" si="3"/>
        <v>0</v>
      </c>
      <c r="L25" s="179">
        <f t="shared" si="5"/>
        <v>0</v>
      </c>
      <c r="N25" s="26"/>
      <c r="Y25" s="172">
        <v>0.87</v>
      </c>
      <c r="Z25" s="183">
        <f t="shared" si="6"/>
        <v>0</v>
      </c>
    </row>
    <row r="26" spans="2:26">
      <c r="D26" s="67" t="s">
        <v>216</v>
      </c>
      <c r="E26" s="181"/>
      <c r="F26" s="127">
        <v>1</v>
      </c>
      <c r="G26" s="3" t="s">
        <v>232</v>
      </c>
      <c r="H26" s="66">
        <v>6</v>
      </c>
      <c r="I26" s="3" t="s">
        <v>21</v>
      </c>
      <c r="J26" s="8">
        <f t="shared" si="4"/>
        <v>3600</v>
      </c>
      <c r="K26" s="49">
        <f t="shared" si="3"/>
        <v>1800</v>
      </c>
      <c r="L26" s="179">
        <f t="shared" si="5"/>
        <v>0.4022346368715084</v>
      </c>
      <c r="N26" s="26"/>
      <c r="Y26" s="172">
        <v>0.254</v>
      </c>
      <c r="Z26" s="183">
        <f t="shared" si="6"/>
        <v>0.254</v>
      </c>
    </row>
    <row r="27" spans="2:26">
      <c r="D27" s="67" t="s">
        <v>217</v>
      </c>
      <c r="E27" s="181"/>
      <c r="F27" s="127">
        <v>0.3</v>
      </c>
      <c r="G27" s="3" t="s">
        <v>232</v>
      </c>
      <c r="H27" s="66">
        <v>85</v>
      </c>
      <c r="I27" s="3" t="s">
        <v>21</v>
      </c>
      <c r="J27" s="8">
        <f t="shared" si="4"/>
        <v>15300</v>
      </c>
      <c r="K27" s="49">
        <f t="shared" si="3"/>
        <v>7650</v>
      </c>
      <c r="L27" s="179">
        <f t="shared" si="5"/>
        <v>1.7094972067039107</v>
      </c>
      <c r="N27" s="26"/>
      <c r="Y27" s="172">
        <v>0.89500000000000002</v>
      </c>
      <c r="Z27" s="183">
        <f t="shared" si="6"/>
        <v>0.26850000000000002</v>
      </c>
    </row>
    <row r="28" spans="2:26">
      <c r="D28" s="67" t="s">
        <v>218</v>
      </c>
      <c r="E28" s="181"/>
      <c r="F28" s="127"/>
      <c r="G28" s="3" t="s">
        <v>232</v>
      </c>
      <c r="H28" s="66"/>
      <c r="I28" s="3" t="s">
        <v>21</v>
      </c>
      <c r="J28" s="8">
        <f t="shared" si="4"/>
        <v>0</v>
      </c>
      <c r="K28" s="49">
        <f t="shared" si="3"/>
        <v>0</v>
      </c>
      <c r="L28" s="179">
        <f t="shared" si="5"/>
        <v>0</v>
      </c>
      <c r="N28" s="26"/>
      <c r="Y28" s="172">
        <v>0.92</v>
      </c>
      <c r="Z28" s="183">
        <f t="shared" si="6"/>
        <v>0</v>
      </c>
    </row>
    <row r="29" spans="2:26">
      <c r="D29" s="67" t="s">
        <v>219</v>
      </c>
      <c r="E29" s="181"/>
      <c r="F29" s="127">
        <v>0.5</v>
      </c>
      <c r="G29" s="3" t="s">
        <v>232</v>
      </c>
      <c r="H29" s="66">
        <v>45</v>
      </c>
      <c r="I29" s="3" t="s">
        <v>21</v>
      </c>
      <c r="J29" s="8">
        <f t="shared" si="4"/>
        <v>13500</v>
      </c>
      <c r="K29" s="49">
        <f t="shared" si="3"/>
        <v>6750</v>
      </c>
      <c r="L29" s="179">
        <f t="shared" si="5"/>
        <v>1.5083798882681565</v>
      </c>
      <c r="N29" s="26"/>
      <c r="Y29" s="172">
        <v>0.91500000000000004</v>
      </c>
      <c r="Z29" s="183">
        <f t="shared" si="6"/>
        <v>0.45750000000000002</v>
      </c>
    </row>
    <row r="30" spans="2:26">
      <c r="D30" s="67" t="s">
        <v>294</v>
      </c>
      <c r="E30" s="181"/>
      <c r="F30" s="127">
        <v>0.5</v>
      </c>
      <c r="G30" s="3" t="s">
        <v>232</v>
      </c>
      <c r="H30" s="66">
        <v>20</v>
      </c>
      <c r="I30" s="3" t="s">
        <v>21</v>
      </c>
      <c r="J30" s="8">
        <f t="shared" si="4"/>
        <v>6000</v>
      </c>
      <c r="K30" s="49">
        <f t="shared" si="3"/>
        <v>3000</v>
      </c>
      <c r="L30" s="179">
        <f t="shared" si="5"/>
        <v>0.67039106145251393</v>
      </c>
      <c r="N30" s="26"/>
      <c r="Y30" s="172">
        <v>0.87</v>
      </c>
      <c r="Z30" s="183">
        <f t="shared" si="6"/>
        <v>0.435</v>
      </c>
    </row>
    <row r="31" spans="2:26">
      <c r="D31" s="67" t="s">
        <v>220</v>
      </c>
      <c r="E31" s="181"/>
      <c r="F31" s="127">
        <v>0.15</v>
      </c>
      <c r="G31" s="3" t="s">
        <v>232</v>
      </c>
      <c r="H31" s="66">
        <v>150</v>
      </c>
      <c r="I31" s="3" t="s">
        <v>21</v>
      </c>
      <c r="J31" s="8">
        <f t="shared" si="4"/>
        <v>13500</v>
      </c>
      <c r="K31" s="49">
        <f t="shared" si="3"/>
        <v>6750</v>
      </c>
      <c r="L31" s="179">
        <f t="shared" si="5"/>
        <v>1.5083798882681565</v>
      </c>
      <c r="N31" s="26"/>
      <c r="Y31" s="172">
        <v>0.95</v>
      </c>
      <c r="Z31" s="183">
        <f t="shared" si="6"/>
        <v>0.14249999999999999</v>
      </c>
    </row>
    <row r="32" spans="2:26">
      <c r="D32" s="67" t="s">
        <v>221</v>
      </c>
      <c r="E32" s="181"/>
      <c r="F32" s="127">
        <v>0.06</v>
      </c>
      <c r="G32" s="3" t="s">
        <v>232</v>
      </c>
      <c r="H32" s="66">
        <v>20</v>
      </c>
      <c r="I32" s="3" t="s">
        <v>21</v>
      </c>
      <c r="J32" s="8">
        <f t="shared" si="4"/>
        <v>720</v>
      </c>
      <c r="K32" s="49">
        <f t="shared" si="3"/>
        <v>360</v>
      </c>
      <c r="L32" s="179">
        <f t="shared" si="5"/>
        <v>8.0446927374301674E-2</v>
      </c>
      <c r="N32" s="26"/>
      <c r="Y32" s="172">
        <v>1</v>
      </c>
      <c r="Z32" s="183">
        <f t="shared" si="6"/>
        <v>0.06</v>
      </c>
    </row>
    <row r="33" spans="2:26">
      <c r="D33" s="68"/>
      <c r="E33" s="181"/>
      <c r="F33" s="127"/>
      <c r="G33" s="3" t="s">
        <v>232</v>
      </c>
      <c r="H33" s="66"/>
      <c r="I33" s="3" t="s">
        <v>21</v>
      </c>
      <c r="J33" s="8">
        <f t="shared" si="4"/>
        <v>0</v>
      </c>
      <c r="K33" s="49">
        <f t="shared" si="3"/>
        <v>0</v>
      </c>
      <c r="L33" s="179">
        <f t="shared" si="5"/>
        <v>0</v>
      </c>
      <c r="N33" s="26"/>
      <c r="Y33" s="172"/>
      <c r="Z33" s="183">
        <f>SUM(Z21:Z32)</f>
        <v>4.6624999999999996</v>
      </c>
    </row>
    <row r="34" spans="2:26">
      <c r="D34" s="68"/>
      <c r="E34" s="181"/>
      <c r="F34" s="127"/>
      <c r="G34" s="3" t="s">
        <v>232</v>
      </c>
      <c r="H34" s="66"/>
      <c r="I34" s="3" t="s">
        <v>21</v>
      </c>
      <c r="J34" s="8">
        <f t="shared" si="4"/>
        <v>0</v>
      </c>
      <c r="K34" s="49">
        <f t="shared" si="3"/>
        <v>0</v>
      </c>
      <c r="L34" s="179">
        <f t="shared" si="5"/>
        <v>0</v>
      </c>
      <c r="N34" s="26"/>
      <c r="Y34" s="172"/>
      <c r="Z34" s="183"/>
    </row>
    <row r="35" spans="2:26">
      <c r="D35" s="68"/>
      <c r="E35" s="181"/>
      <c r="F35" s="127"/>
      <c r="G35" s="3" t="s">
        <v>232</v>
      </c>
      <c r="H35" s="66"/>
      <c r="I35" s="3" t="s">
        <v>21</v>
      </c>
      <c r="J35" s="8">
        <f t="shared" ref="J35" si="7">F35*H35*$F$6*300</f>
        <v>0</v>
      </c>
      <c r="K35" s="49">
        <f t="shared" si="3"/>
        <v>0</v>
      </c>
      <c r="L35" s="179">
        <f t="shared" ref="L35" si="8">J35/SUM($F$10:$F$13)</f>
        <v>0</v>
      </c>
      <c r="N35" s="26"/>
      <c r="Y35" s="172"/>
      <c r="Z35" s="183"/>
    </row>
    <row r="36" spans="2:26">
      <c r="B36" s="10" t="s">
        <v>11</v>
      </c>
      <c r="C36" s="4" t="s">
        <v>203</v>
      </c>
      <c r="F36" s="184">
        <f>+Z45</f>
        <v>12.36</v>
      </c>
      <c r="J36" s="8"/>
      <c r="K36" s="49"/>
      <c r="L36" s="179"/>
      <c r="N36" s="26" t="s">
        <v>246</v>
      </c>
      <c r="O36" s="186"/>
      <c r="P36" s="2" t="s">
        <v>325</v>
      </c>
      <c r="Z36" s="183"/>
    </row>
    <row r="37" spans="2:26" ht="15">
      <c r="C37" s="161" t="s">
        <v>233</v>
      </c>
      <c r="D37" s="162"/>
      <c r="E37" s="162"/>
      <c r="F37" s="208">
        <f>SUM(F38:F46)</f>
        <v>25</v>
      </c>
      <c r="G37" s="3" t="s">
        <v>232</v>
      </c>
      <c r="H37" s="165"/>
      <c r="J37" s="8"/>
      <c r="K37" s="49"/>
      <c r="L37" s="49"/>
      <c r="N37" s="160" t="s">
        <v>247</v>
      </c>
      <c r="Y37" s="171" t="s">
        <v>248</v>
      </c>
      <c r="Z37" s="187" t="s">
        <v>244</v>
      </c>
    </row>
    <row r="38" spans="2:26">
      <c r="D38" s="181" t="s">
        <v>225</v>
      </c>
      <c r="E38" s="181"/>
      <c r="F38" s="127">
        <v>15</v>
      </c>
      <c r="G38" s="3" t="s">
        <v>232</v>
      </c>
      <c r="H38" s="99">
        <v>3</v>
      </c>
      <c r="I38" s="3" t="s">
        <v>21</v>
      </c>
      <c r="J38" s="8">
        <f>F38*H38*$F$6*330</f>
        <v>29700</v>
      </c>
      <c r="K38" s="49">
        <f>J38/$F$6</f>
        <v>14850</v>
      </c>
      <c r="L38" s="179">
        <f>J38/SUM($F$10:$F$13)</f>
        <v>3.3184357541899443</v>
      </c>
      <c r="N38" s="26"/>
      <c r="Y38" s="172">
        <v>0.26400000000000001</v>
      </c>
      <c r="Z38" s="183">
        <f t="shared" si="6"/>
        <v>3.96</v>
      </c>
    </row>
    <row r="39" spans="2:26">
      <c r="D39" s="181" t="s">
        <v>226</v>
      </c>
      <c r="E39" s="181"/>
      <c r="F39" s="127"/>
      <c r="G39" s="3" t="s">
        <v>232</v>
      </c>
      <c r="H39" s="99"/>
      <c r="I39" s="3" t="s">
        <v>21</v>
      </c>
      <c r="J39" s="8">
        <f t="shared" ref="J39:J46" si="9">F39*H39*$F$6*330</f>
        <v>0</v>
      </c>
      <c r="K39" s="49">
        <f t="shared" ref="K39:K53" si="10">J39/$F$6</f>
        <v>0</v>
      </c>
      <c r="L39" s="179">
        <f t="shared" ref="L39:L46" si="11">J39/SUM($F$10:$F$13)</f>
        <v>0</v>
      </c>
      <c r="N39" s="26"/>
      <c r="Y39" s="172">
        <v>0.26100000000000001</v>
      </c>
      <c r="Z39" s="183">
        <f t="shared" si="6"/>
        <v>0</v>
      </c>
    </row>
    <row r="40" spans="2:26">
      <c r="D40" s="181" t="s">
        <v>227</v>
      </c>
      <c r="E40" s="181"/>
      <c r="F40" s="127"/>
      <c r="G40" s="3" t="s">
        <v>232</v>
      </c>
      <c r="H40" s="99"/>
      <c r="I40" s="3" t="s">
        <v>21</v>
      </c>
      <c r="J40" s="8">
        <f t="shared" si="9"/>
        <v>0</v>
      </c>
      <c r="K40" s="49">
        <f t="shared" si="10"/>
        <v>0</v>
      </c>
      <c r="L40" s="179">
        <f t="shared" si="11"/>
        <v>0</v>
      </c>
      <c r="N40" s="26"/>
      <c r="Y40" s="172">
        <v>7.0000000000000007E-2</v>
      </c>
      <c r="Z40" s="183">
        <f t="shared" si="6"/>
        <v>0</v>
      </c>
    </row>
    <row r="41" spans="2:26">
      <c r="D41" s="181" t="s">
        <v>228</v>
      </c>
      <c r="E41" s="181"/>
      <c r="F41" s="127">
        <v>5</v>
      </c>
      <c r="G41" s="3" t="s">
        <v>232</v>
      </c>
      <c r="H41" s="51">
        <v>20</v>
      </c>
      <c r="I41" s="3" t="s">
        <v>21</v>
      </c>
      <c r="J41" s="8">
        <f t="shared" si="9"/>
        <v>66000</v>
      </c>
      <c r="K41" s="49">
        <f t="shared" si="10"/>
        <v>33000</v>
      </c>
      <c r="L41" s="179">
        <f t="shared" si="11"/>
        <v>7.3743016759776534</v>
      </c>
      <c r="N41" s="26"/>
      <c r="Y41" s="172">
        <v>0.83</v>
      </c>
      <c r="Z41" s="183">
        <f t="shared" si="6"/>
        <v>4.1499999999999995</v>
      </c>
    </row>
    <row r="42" spans="2:26">
      <c r="D42" s="181" t="s">
        <v>229</v>
      </c>
      <c r="E42" s="181"/>
      <c r="F42" s="127">
        <v>5</v>
      </c>
      <c r="G42" s="3" t="s">
        <v>232</v>
      </c>
      <c r="H42" s="51">
        <v>12</v>
      </c>
      <c r="I42" s="3" t="s">
        <v>21</v>
      </c>
      <c r="J42" s="8">
        <f t="shared" si="9"/>
        <v>39600</v>
      </c>
      <c r="K42" s="49">
        <f t="shared" si="10"/>
        <v>19800</v>
      </c>
      <c r="L42" s="179">
        <f t="shared" si="11"/>
        <v>4.4245810055865924</v>
      </c>
      <c r="N42" s="26"/>
      <c r="Y42" s="172">
        <v>0.85</v>
      </c>
      <c r="Z42" s="183">
        <f t="shared" si="6"/>
        <v>4.25</v>
      </c>
    </row>
    <row r="43" spans="2:26">
      <c r="D43" s="181" t="s">
        <v>49</v>
      </c>
      <c r="E43" s="181"/>
      <c r="F43" s="127"/>
      <c r="G43" s="3" t="s">
        <v>232</v>
      </c>
      <c r="H43" s="51"/>
      <c r="I43" s="3" t="s">
        <v>21</v>
      </c>
      <c r="J43" s="8">
        <f t="shared" si="9"/>
        <v>0</v>
      </c>
      <c r="K43" s="49">
        <f t="shared" si="10"/>
        <v>0</v>
      </c>
      <c r="L43" s="179">
        <f t="shared" si="11"/>
        <v>0</v>
      </c>
      <c r="N43" s="26"/>
      <c r="Y43" s="172">
        <v>0.77300000000000002</v>
      </c>
      <c r="Z43" s="183">
        <f t="shared" si="6"/>
        <v>0</v>
      </c>
    </row>
    <row r="44" spans="2:26">
      <c r="D44" s="181" t="s">
        <v>115</v>
      </c>
      <c r="E44" s="181"/>
      <c r="F44" s="127"/>
      <c r="G44" s="3" t="s">
        <v>232</v>
      </c>
      <c r="H44" s="51"/>
      <c r="I44" s="3" t="s">
        <v>21</v>
      </c>
      <c r="J44" s="8">
        <f t="shared" si="9"/>
        <v>0</v>
      </c>
      <c r="K44" s="49">
        <f t="shared" si="10"/>
        <v>0</v>
      </c>
      <c r="L44" s="179">
        <f t="shared" si="11"/>
        <v>0</v>
      </c>
      <c r="N44" s="26"/>
      <c r="Y44" s="172">
        <v>0.85</v>
      </c>
      <c r="Z44" s="183">
        <f t="shared" si="6"/>
        <v>0</v>
      </c>
    </row>
    <row r="45" spans="2:26">
      <c r="D45" s="52"/>
      <c r="E45" s="181"/>
      <c r="F45" s="127"/>
      <c r="G45" s="3" t="s">
        <v>232</v>
      </c>
      <c r="H45" s="51"/>
      <c r="I45" s="3" t="s">
        <v>21</v>
      </c>
      <c r="J45" s="8">
        <f t="shared" si="9"/>
        <v>0</v>
      </c>
      <c r="K45" s="49">
        <f t="shared" si="10"/>
        <v>0</v>
      </c>
      <c r="L45" s="179">
        <f t="shared" si="11"/>
        <v>0</v>
      </c>
      <c r="N45" s="26"/>
      <c r="Y45"/>
      <c r="Z45" s="183">
        <f>SUM(Z38:Z44)</f>
        <v>12.36</v>
      </c>
    </row>
    <row r="46" spans="2:26">
      <c r="D46" s="52"/>
      <c r="E46" s="181"/>
      <c r="F46" s="127"/>
      <c r="G46" s="3" t="s">
        <v>232</v>
      </c>
      <c r="H46" s="51"/>
      <c r="I46" s="3" t="s">
        <v>21</v>
      </c>
      <c r="J46" s="8">
        <f t="shared" si="9"/>
        <v>0</v>
      </c>
      <c r="K46" s="49">
        <f t="shared" si="10"/>
        <v>0</v>
      </c>
      <c r="L46" s="179">
        <f t="shared" si="11"/>
        <v>0</v>
      </c>
      <c r="N46" s="26"/>
      <c r="Y46"/>
    </row>
    <row r="47" spans="2:26">
      <c r="B47" s="10" t="s">
        <v>22</v>
      </c>
      <c r="C47" s="3" t="s">
        <v>267</v>
      </c>
      <c r="F47" s="127">
        <v>5</v>
      </c>
      <c r="G47" s="3" t="s">
        <v>232</v>
      </c>
      <c r="H47" s="51">
        <v>2</v>
      </c>
      <c r="I47" s="3" t="s">
        <v>21</v>
      </c>
      <c r="J47" s="8">
        <f>F47*H47*$F$6*365</f>
        <v>7300</v>
      </c>
      <c r="K47" s="49">
        <f t="shared" si="10"/>
        <v>3650</v>
      </c>
      <c r="L47" s="179">
        <f t="shared" ref="L47:L48" si="12">J47/SUM($F$10:$F$13)</f>
        <v>0.81564245810055869</v>
      </c>
      <c r="N47" s="26" t="s">
        <v>245</v>
      </c>
      <c r="Y47"/>
    </row>
    <row r="48" spans="2:26" ht="16.5">
      <c r="B48" s="10" t="s">
        <v>30</v>
      </c>
      <c r="C48" s="3" t="s">
        <v>268</v>
      </c>
      <c r="F48" s="66">
        <v>100</v>
      </c>
      <c r="G48" s="3" t="s">
        <v>261</v>
      </c>
      <c r="H48" s="51">
        <v>25</v>
      </c>
      <c r="I48" s="3" t="s">
        <v>260</v>
      </c>
      <c r="J48" s="8">
        <f>F48*H48/1000*F6*365</f>
        <v>1825</v>
      </c>
      <c r="K48" s="49">
        <f t="shared" si="10"/>
        <v>912.5</v>
      </c>
      <c r="L48" s="179">
        <f t="shared" si="12"/>
        <v>0.20391061452513967</v>
      </c>
      <c r="N48" s="26" t="s">
        <v>249</v>
      </c>
      <c r="Y48"/>
    </row>
    <row r="49" spans="2:25">
      <c r="B49" s="10" t="s">
        <v>35</v>
      </c>
      <c r="C49" s="3" t="s">
        <v>269</v>
      </c>
      <c r="F49" s="66">
        <v>2</v>
      </c>
      <c r="G49" s="3" t="s">
        <v>262</v>
      </c>
      <c r="H49" s="51">
        <v>1000</v>
      </c>
      <c r="I49" s="3" t="s">
        <v>263</v>
      </c>
      <c r="J49" s="8">
        <f>F49*H49*F6</f>
        <v>4000</v>
      </c>
      <c r="K49" s="49">
        <f t="shared" si="10"/>
        <v>2000</v>
      </c>
      <c r="L49" s="179">
        <f t="shared" ref="L49" si="13">J49/SUM($F$10:$F$13)</f>
        <v>0.44692737430167595</v>
      </c>
      <c r="N49" s="26"/>
      <c r="Y49" s="173"/>
    </row>
    <row r="50" spans="2:25">
      <c r="B50" s="10" t="s">
        <v>40</v>
      </c>
      <c r="C50" s="3" t="s">
        <v>235</v>
      </c>
      <c r="F50" s="4"/>
      <c r="G50" s="4"/>
      <c r="H50" s="51">
        <v>10000</v>
      </c>
      <c r="I50" s="3" t="s">
        <v>210</v>
      </c>
      <c r="J50" s="8">
        <f>H50*$F$6</f>
        <v>20000</v>
      </c>
      <c r="K50" s="49">
        <f t="shared" si="10"/>
        <v>10000</v>
      </c>
      <c r="L50" s="179">
        <f t="shared" ref="L50:L52" si="14">J50/SUM($F$10:$F$13)</f>
        <v>2.2346368715083798</v>
      </c>
      <c r="N50" s="26"/>
      <c r="Y50" s="174"/>
    </row>
    <row r="51" spans="2:25">
      <c r="B51" s="10" t="s">
        <v>60</v>
      </c>
      <c r="C51" s="67" t="s">
        <v>236</v>
      </c>
      <c r="D51" s="67"/>
      <c r="E51" s="67"/>
      <c r="F51" s="4"/>
      <c r="G51" s="4"/>
      <c r="H51" s="51">
        <v>2500</v>
      </c>
      <c r="I51" s="3" t="s">
        <v>210</v>
      </c>
      <c r="J51" s="8">
        <f t="shared" ref="J51:J52" si="15">H51*$F$6</f>
        <v>5000</v>
      </c>
      <c r="K51" s="49">
        <f t="shared" si="10"/>
        <v>2500</v>
      </c>
      <c r="L51" s="179">
        <f t="shared" si="14"/>
        <v>0.55865921787709494</v>
      </c>
      <c r="N51" s="26"/>
    </row>
    <row r="52" spans="2:25">
      <c r="B52" s="10" t="s">
        <v>62</v>
      </c>
      <c r="C52" s="67" t="s">
        <v>237</v>
      </c>
      <c r="D52" s="67"/>
      <c r="E52" s="67"/>
      <c r="F52" s="4"/>
      <c r="G52" s="4"/>
      <c r="H52" s="51">
        <v>12000</v>
      </c>
      <c r="I52" s="3" t="s">
        <v>210</v>
      </c>
      <c r="J52" s="8">
        <f t="shared" si="15"/>
        <v>24000</v>
      </c>
      <c r="K52" s="49">
        <f t="shared" si="10"/>
        <v>12000</v>
      </c>
      <c r="L52" s="179">
        <f t="shared" si="14"/>
        <v>2.6815642458100557</v>
      </c>
      <c r="N52" s="26"/>
    </row>
    <row r="53" spans="2:25" ht="15" thickBot="1">
      <c r="B53" s="10" t="s">
        <v>67</v>
      </c>
      <c r="C53" s="67" t="s">
        <v>282</v>
      </c>
      <c r="D53" s="67"/>
      <c r="E53" s="67"/>
      <c r="F53" s="4"/>
      <c r="H53" s="182">
        <v>0.1</v>
      </c>
      <c r="I53" s="10" t="s">
        <v>238</v>
      </c>
      <c r="J53" s="8">
        <f>SUM(J21:J52)*H53*0.25</f>
        <v>7188.625</v>
      </c>
      <c r="K53" s="49">
        <f t="shared" si="10"/>
        <v>3594.3125</v>
      </c>
      <c r="L53" s="179">
        <f t="shared" ref="L53" si="16">J53/SUM($F$10:$F$13)</f>
        <v>0.80319832402234637</v>
      </c>
      <c r="N53" s="26" t="s">
        <v>342</v>
      </c>
    </row>
    <row r="54" spans="2:25" ht="15.75" thickBot="1">
      <c r="B54" s="41"/>
      <c r="C54" s="42" t="s">
        <v>101</v>
      </c>
      <c r="D54" s="43"/>
      <c r="E54" s="43"/>
      <c r="F54" s="44"/>
      <c r="G54" s="45"/>
      <c r="H54" s="44"/>
      <c r="I54" s="45"/>
      <c r="J54" s="46">
        <f>SUM(J19:J53)</f>
        <v>294733.625</v>
      </c>
      <c r="K54" s="46">
        <f>SUM(K19:K53)</f>
        <v>147366.8125</v>
      </c>
      <c r="L54" s="170">
        <f>SUM(L19:L53)</f>
        <v>32.931131284916198</v>
      </c>
      <c r="N54" s="26"/>
    </row>
    <row r="55" spans="2:25" ht="15.75" thickBot="1">
      <c r="B55" s="70" t="s">
        <v>103</v>
      </c>
      <c r="C55" s="71" t="s">
        <v>102</v>
      </c>
      <c r="D55" s="71"/>
      <c r="E55" s="71"/>
      <c r="F55" s="72"/>
      <c r="G55" s="72"/>
      <c r="H55" s="73"/>
      <c r="I55" s="72"/>
      <c r="J55" s="28">
        <f>J17-J54</f>
        <v>150016.375</v>
      </c>
      <c r="K55" s="28">
        <f>K17-K54</f>
        <v>75008.1875</v>
      </c>
      <c r="L55" s="190">
        <f>L17-L54</f>
        <v>16.761606145251399</v>
      </c>
      <c r="N55" s="26"/>
    </row>
    <row r="56" spans="2:25" ht="16.5" thickTop="1" thickBot="1">
      <c r="C56" s="89" t="s">
        <v>264</v>
      </c>
      <c r="D56" s="90"/>
      <c r="E56" s="90"/>
      <c r="F56" s="90"/>
      <c r="G56" s="90"/>
    </row>
    <row r="57" spans="2:25" ht="15" thickBot="1"/>
    <row r="58" spans="2:25" ht="15.75" thickTop="1">
      <c r="C58" s="74" t="s">
        <v>7</v>
      </c>
      <c r="D58" s="75"/>
      <c r="E58" s="75"/>
      <c r="F58" s="76" t="s">
        <v>250</v>
      </c>
      <c r="N58" s="3"/>
    </row>
    <row r="59" spans="2:25">
      <c r="C59" s="53" t="s">
        <v>239</v>
      </c>
      <c r="F59" s="8">
        <f>SUM(K10:K13)</f>
        <v>161875</v>
      </c>
      <c r="N59" s="3"/>
    </row>
    <row r="60" spans="2:25">
      <c r="C60" s="54" t="s">
        <v>208</v>
      </c>
      <c r="F60" s="8">
        <f>K14</f>
        <v>18000</v>
      </c>
      <c r="N60" s="3"/>
    </row>
    <row r="61" spans="2:25">
      <c r="C61" s="54" t="s">
        <v>19</v>
      </c>
      <c r="F61" s="8">
        <f>K15</f>
        <v>22500</v>
      </c>
      <c r="N61" s="3"/>
    </row>
    <row r="62" spans="2:25" ht="15" thickBot="1">
      <c r="C62" s="54" t="s">
        <v>240</v>
      </c>
      <c r="F62" s="8">
        <f>K16</f>
        <v>20000</v>
      </c>
      <c r="N62" s="3"/>
    </row>
    <row r="63" spans="2:25" ht="15.75" thickBot="1">
      <c r="B63" s="55"/>
      <c r="C63" s="42" t="s">
        <v>46</v>
      </c>
      <c r="D63" s="43"/>
      <c r="E63" s="43"/>
      <c r="F63" s="56">
        <f>K17</f>
        <v>222375</v>
      </c>
      <c r="N63" s="3"/>
    </row>
    <row r="64" spans="2:25" ht="15">
      <c r="B64" s="55"/>
      <c r="C64" s="29" t="s">
        <v>14</v>
      </c>
      <c r="F64" s="8"/>
      <c r="N64" s="3"/>
    </row>
    <row r="65" spans="3:14">
      <c r="C65" s="199" t="s">
        <v>202</v>
      </c>
      <c r="F65" s="8">
        <f>SUM(K21:K35)</f>
        <v>45060</v>
      </c>
      <c r="N65" s="3"/>
    </row>
    <row r="66" spans="3:14">
      <c r="C66" s="199" t="s">
        <v>203</v>
      </c>
      <c r="F66" s="8">
        <f>SUM(K38:K46)</f>
        <v>67650</v>
      </c>
      <c r="N66" s="3"/>
    </row>
    <row r="67" spans="3:14">
      <c r="C67" s="54" t="s">
        <v>230</v>
      </c>
      <c r="F67" s="8">
        <f>K47</f>
        <v>3650</v>
      </c>
      <c r="N67" s="3"/>
    </row>
    <row r="68" spans="3:14">
      <c r="C68" s="54" t="s">
        <v>231</v>
      </c>
      <c r="F68" s="8">
        <f>K48</f>
        <v>912.5</v>
      </c>
      <c r="N68" s="3"/>
    </row>
    <row r="69" spans="3:14">
      <c r="C69" s="54" t="s">
        <v>234</v>
      </c>
      <c r="F69" s="8">
        <f t="shared" ref="F69:F73" si="17">K49</f>
        <v>2000</v>
      </c>
      <c r="N69" s="3"/>
    </row>
    <row r="70" spans="3:14">
      <c r="C70" s="54" t="s">
        <v>235</v>
      </c>
      <c r="F70" s="8">
        <f t="shared" si="17"/>
        <v>10000</v>
      </c>
      <c r="N70" s="3"/>
    </row>
    <row r="71" spans="3:14">
      <c r="C71" s="199" t="s">
        <v>236</v>
      </c>
      <c r="F71" s="8">
        <f t="shared" si="17"/>
        <v>2500</v>
      </c>
      <c r="N71" s="3"/>
    </row>
    <row r="72" spans="3:14">
      <c r="C72" s="199" t="s">
        <v>237</v>
      </c>
      <c r="F72" s="8">
        <f t="shared" si="17"/>
        <v>12000</v>
      </c>
      <c r="N72" s="3"/>
    </row>
    <row r="73" spans="3:14" ht="15" thickBot="1">
      <c r="C73" s="199" t="s">
        <v>282</v>
      </c>
      <c r="F73" s="8">
        <f t="shared" si="17"/>
        <v>3594.3125</v>
      </c>
      <c r="N73" s="3"/>
    </row>
    <row r="74" spans="3:14" ht="15.75" thickBot="1">
      <c r="C74" s="42" t="s">
        <v>101</v>
      </c>
      <c r="D74" s="43"/>
      <c r="E74" s="43"/>
      <c r="F74" s="56">
        <f>SUM(F65:F73)</f>
        <v>147366.8125</v>
      </c>
      <c r="N74" s="3"/>
    </row>
    <row r="75" spans="3:14" ht="15.75" thickBot="1">
      <c r="C75" s="71" t="s">
        <v>42</v>
      </c>
      <c r="D75" s="72"/>
      <c r="E75" s="72"/>
      <c r="F75" s="77">
        <f>F63-F74</f>
        <v>75008.1875</v>
      </c>
      <c r="N75" s="3"/>
    </row>
    <row r="76" spans="3:14" ht="15.75" thickTop="1">
      <c r="C76" s="96"/>
      <c r="D76" s="97"/>
      <c r="E76" s="97"/>
      <c r="F76" s="63"/>
      <c r="N76" s="3"/>
    </row>
    <row r="103" spans="3:14" ht="15.75" thickBot="1">
      <c r="D103" s="89" t="s">
        <v>257</v>
      </c>
      <c r="E103" s="89"/>
      <c r="F103" s="90"/>
      <c r="G103" s="90"/>
      <c r="H103" s="90"/>
      <c r="I103" s="90"/>
      <c r="J103" s="90"/>
      <c r="K103" s="16"/>
      <c r="L103" s="16"/>
      <c r="N103" s="3"/>
    </row>
    <row r="105" spans="3:14" ht="15.75" thickBot="1">
      <c r="D105" s="12"/>
      <c r="E105" s="13"/>
      <c r="F105" s="14"/>
      <c r="G105" s="57"/>
      <c r="H105" s="57" t="s">
        <v>265</v>
      </c>
      <c r="I105" s="57"/>
      <c r="J105" s="79"/>
      <c r="L105" s="30"/>
      <c r="N105" s="3"/>
    </row>
    <row r="106" spans="3:14" ht="15">
      <c r="D106" s="260" t="s">
        <v>360</v>
      </c>
      <c r="E106" s="16"/>
      <c r="F106" s="154">
        <v>-0.2</v>
      </c>
      <c r="G106" s="154">
        <v>-0.1</v>
      </c>
      <c r="H106" s="59" t="s">
        <v>110</v>
      </c>
      <c r="I106" s="154">
        <v>0.1</v>
      </c>
      <c r="J106" s="155">
        <v>0.2</v>
      </c>
      <c r="L106" s="58"/>
      <c r="N106" s="3"/>
    </row>
    <row r="107" spans="3:14" ht="15.75" thickBot="1">
      <c r="C107" s="200"/>
      <c r="D107" s="201" t="s">
        <v>359</v>
      </c>
      <c r="E107" s="159"/>
      <c r="F107" s="92">
        <f>H107*(1+F106)</f>
        <v>28</v>
      </c>
      <c r="G107" s="92">
        <f>H107*(1+G106)</f>
        <v>31.5</v>
      </c>
      <c r="H107" s="92">
        <f>H10</f>
        <v>35</v>
      </c>
      <c r="I107" s="93">
        <f>$H$107*(1+I106)</f>
        <v>38.5</v>
      </c>
      <c r="J107" s="94">
        <f>$H$107*(1+J106)</f>
        <v>42</v>
      </c>
      <c r="L107" s="93"/>
      <c r="N107" s="3"/>
    </row>
    <row r="108" spans="3:14">
      <c r="D108" s="152">
        <v>-0.2</v>
      </c>
      <c r="E108" s="202">
        <f>$E$110*(1+D108)</f>
        <v>3580</v>
      </c>
      <c r="F108" s="88">
        <f>$H$108-$E$108*($H$107-F107)</f>
        <v>18623.1875</v>
      </c>
      <c r="G108" s="88">
        <f>$H$108-$E$108*($H$107-G107)</f>
        <v>31153.1875</v>
      </c>
      <c r="H108" s="88">
        <f>$H$110-($E$110-E108)*$H$107</f>
        <v>43683.1875</v>
      </c>
      <c r="I108" s="88">
        <f>$H$108+$E$108*(I107-$H$107)</f>
        <v>56213.1875</v>
      </c>
      <c r="J108" s="91">
        <f>$H$108+$E$108*(J107-$H$107)</f>
        <v>68743.1875</v>
      </c>
      <c r="L108" s="84"/>
      <c r="N108" s="3"/>
    </row>
    <row r="109" spans="3:14">
      <c r="D109" s="152">
        <v>-0.1</v>
      </c>
      <c r="E109" s="202">
        <f>$E$110*(1+D109)</f>
        <v>4027.5</v>
      </c>
      <c r="F109" s="88">
        <f>$H$109-$E$109*($H$107-F107)</f>
        <v>31153.1875</v>
      </c>
      <c r="G109" s="88">
        <f>$H$109-$E$109*($H$107-G107)</f>
        <v>45249.4375</v>
      </c>
      <c r="H109" s="88">
        <f>$H$110-($E$110-E109)*$H$107</f>
        <v>59345.6875</v>
      </c>
      <c r="I109" s="88">
        <f>$H$109+$E$109*(I107-$H$107)</f>
        <v>73441.9375</v>
      </c>
      <c r="J109" s="91">
        <f>$H$109+$E$109*(J107-$H$107)</f>
        <v>87538.1875</v>
      </c>
      <c r="L109" s="88"/>
      <c r="N109" s="3"/>
    </row>
    <row r="110" spans="3:14" ht="15">
      <c r="D110" s="18" t="s">
        <v>266</v>
      </c>
      <c r="E110" s="203">
        <f>K4</f>
        <v>4475</v>
      </c>
      <c r="F110" s="88">
        <f>$H$110-$E$110*($H$107-F107)</f>
        <v>43683.1875</v>
      </c>
      <c r="G110" s="88">
        <f>$H$110-$E$110*($H$107-G107)</f>
        <v>59345.6875</v>
      </c>
      <c r="H110" s="63">
        <f>K55</f>
        <v>75008.1875</v>
      </c>
      <c r="I110" s="84">
        <f>$H$110+$E$110*(I107-$H$107)</f>
        <v>90670.6875</v>
      </c>
      <c r="J110" s="85">
        <f>$H$110+$E$110*(J107-$H$107)</f>
        <v>106333.1875</v>
      </c>
      <c r="L110" s="84"/>
      <c r="N110" s="3"/>
    </row>
    <row r="111" spans="3:14">
      <c r="D111" s="152">
        <v>0.1</v>
      </c>
      <c r="E111" s="202">
        <f>$E$110*(1+D111)</f>
        <v>4922.5</v>
      </c>
      <c r="F111" s="84">
        <f>$H$111-$E$111*($H$107-F107)</f>
        <v>56213.1875</v>
      </c>
      <c r="G111" s="84">
        <f>$H$111-$E$111*($H$107-G107)</f>
        <v>73441.9375</v>
      </c>
      <c r="H111" s="88">
        <f>$H$110-($E$110-E111)*$H$107</f>
        <v>90670.6875</v>
      </c>
      <c r="I111" s="84">
        <f>$H$111+$E$111*(I107-$H$107)</f>
        <v>107899.4375</v>
      </c>
      <c r="J111" s="85">
        <f>$H$111+$E$111*(J107-$H$107)</f>
        <v>125128.1875</v>
      </c>
      <c r="L111" s="84"/>
      <c r="N111" s="3"/>
    </row>
    <row r="112" spans="3:14">
      <c r="D112" s="153">
        <v>0.2</v>
      </c>
      <c r="E112" s="204">
        <f>$E$110*(1+D112)</f>
        <v>5370</v>
      </c>
      <c r="F112" s="86">
        <f>$H$112-$E$112*($H$107-F107)</f>
        <v>68743.1875</v>
      </c>
      <c r="G112" s="86">
        <f>$H$112-$E$112*($H$107-G107)</f>
        <v>87538.1875</v>
      </c>
      <c r="H112" s="95">
        <f>$H$110-($E$110-E112)*$H$107</f>
        <v>106333.1875</v>
      </c>
      <c r="I112" s="86">
        <f>$H$112+$E$112*(I107-$H$107)</f>
        <v>125128.1875</v>
      </c>
      <c r="J112" s="87">
        <f>$H$112+$E$112*(J107-$H$107)</f>
        <v>143923.1875</v>
      </c>
      <c r="L112" s="84"/>
      <c r="N112" s="3"/>
    </row>
  </sheetData>
  <sheetProtection password="B310" sheet="1" objects="1" scenarios="1"/>
  <protectedRanges>
    <protectedRange sqref="I106:J106" name="Range7"/>
    <protectedRange sqref="N4:N55" name="Range6"/>
    <protectedRange sqref="D21:I53" name="Range5"/>
    <protectedRange sqref="F16" name="Range4"/>
    <protectedRange sqref="F10:F14" name="Range3"/>
    <protectedRange sqref="G10:I16" name="Range2"/>
    <protectedRange sqref="F4:F6" name="Range1"/>
    <protectedRange sqref="F106:G106" name="Range8"/>
    <protectedRange sqref="D108:D109" name="Range9"/>
    <protectedRange sqref="D111:D112" name="Range10"/>
  </protectedRanges>
  <conditionalFormatting sqref="F19">
    <cfRule type="cellIs" dxfId="47" priority="3" operator="lessThan">
      <formula>3</formula>
    </cfRule>
    <cfRule type="cellIs" dxfId="46" priority="4" operator="greaterThan">
      <formula>8.5</formula>
    </cfRule>
  </conditionalFormatting>
  <conditionalFormatting sqref="F36">
    <cfRule type="cellIs" dxfId="45" priority="1" operator="lessThan">
      <formula>11</formula>
    </cfRule>
    <cfRule type="cellIs" dxfId="44" priority="2" operator="greaterThan">
      <formula>18</formula>
    </cfRule>
  </conditionalFormatting>
  <pageMargins left="0.11811023622047245" right="0.11811023622047245" top="0.74803149606299213" bottom="0.74803149606299213" header="0.31496062992125984" footer="0.31496062992125984"/>
  <pageSetup paperSize="9" scale="90" orientation="portrait" verticalDpi="0" r:id="rId1"/>
  <colBreaks count="1" manualBreakCount="1">
    <brk id="12" max="119" man="1"/>
  </colBreaks>
  <ignoredErrors>
    <ignoredError sqref="K4:K5 F3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P99"/>
  <sheetViews>
    <sheetView zoomScale="120" zoomScaleNormal="120" zoomScaleSheetLayoutView="100" workbookViewId="0"/>
  </sheetViews>
  <sheetFormatPr defaultRowHeight="14.25"/>
  <cols>
    <col min="1" max="1" width="1.140625" style="3" customWidth="1"/>
    <col min="2" max="2" width="2.7109375" style="3" bestFit="1" customWidth="1"/>
    <col min="3" max="3" width="6.7109375" style="3" customWidth="1"/>
    <col min="4" max="4" width="22.5703125" style="3" customWidth="1"/>
    <col min="5" max="5" width="6.7109375" style="3" customWidth="1"/>
    <col min="6" max="6" width="9.85546875" style="3" bestFit="1" customWidth="1"/>
    <col min="7" max="7" width="9" style="3" customWidth="1"/>
    <col min="8" max="8" width="10.5703125" style="3" customWidth="1"/>
    <col min="9" max="9" width="10" style="3" customWidth="1"/>
    <col min="10" max="10" width="10.42578125" style="3" customWidth="1"/>
    <col min="11" max="11" width="10.5703125" style="3" customWidth="1"/>
    <col min="12" max="12" width="10.85546875" style="3" customWidth="1"/>
    <col min="13" max="13" width="2.42578125" style="3" customWidth="1"/>
    <col min="14" max="14" width="10.5703125" style="2" customWidth="1"/>
    <col min="15" max="15" width="5.5703125" style="3" customWidth="1"/>
    <col min="16" max="16384" width="9.140625" style="3"/>
  </cols>
  <sheetData>
    <row r="1" spans="2:16" ht="23.25">
      <c r="C1" s="82" t="s">
        <v>467</v>
      </c>
    </row>
    <row r="3" spans="2:16" ht="15.75" thickBot="1">
      <c r="C3" s="89" t="s">
        <v>200</v>
      </c>
      <c r="D3" s="89"/>
      <c r="E3" s="89"/>
      <c r="F3" s="89"/>
      <c r="G3" s="30"/>
      <c r="H3" s="30"/>
      <c r="N3" s="81" t="s">
        <v>0</v>
      </c>
    </row>
    <row r="4" spans="2:16" ht="15.75" thickBot="1">
      <c r="C4" s="90" t="s">
        <v>137</v>
      </c>
      <c r="D4" s="90"/>
      <c r="E4" s="90"/>
      <c r="F4" s="98">
        <v>2018</v>
      </c>
      <c r="G4" s="261" t="s">
        <v>280</v>
      </c>
      <c r="H4" s="261"/>
      <c r="I4" s="261"/>
      <c r="J4" s="226">
        <f>F21/F9</f>
        <v>1.9666666666666666</v>
      </c>
      <c r="K4" s="3" t="s">
        <v>313</v>
      </c>
      <c r="N4" s="26" t="s">
        <v>246</v>
      </c>
      <c r="O4" s="186"/>
      <c r="P4" s="2" t="s">
        <v>325</v>
      </c>
    </row>
    <row r="5" spans="2:16" ht="15.75" thickBot="1">
      <c r="C5" s="90" t="s">
        <v>198</v>
      </c>
      <c r="D5" s="90"/>
      <c r="E5" s="90"/>
      <c r="F5" s="98" t="s">
        <v>306</v>
      </c>
      <c r="G5" s="265"/>
      <c r="H5" s="266" t="s">
        <v>297</v>
      </c>
      <c r="I5" s="265"/>
      <c r="J5" s="229">
        <f>1-F14/F8</f>
        <v>5.0000000000000044E-2</v>
      </c>
      <c r="K5" s="105" t="s">
        <v>238</v>
      </c>
      <c r="N5" s="25"/>
    </row>
    <row r="6" spans="2:16" ht="15">
      <c r="C6" s="16"/>
      <c r="D6" s="16"/>
      <c r="E6" s="16"/>
      <c r="F6" s="214"/>
      <c r="N6" s="25"/>
    </row>
    <row r="7" spans="2:16" ht="15">
      <c r="C7" s="16"/>
      <c r="D7" s="16"/>
      <c r="E7" s="16"/>
      <c r="F7" s="214"/>
      <c r="N7" s="25"/>
    </row>
    <row r="8" spans="2:16" ht="15">
      <c r="C8" s="16" t="s">
        <v>315</v>
      </c>
      <c r="F8" s="231">
        <v>1000</v>
      </c>
      <c r="G8" s="3" t="s">
        <v>199</v>
      </c>
      <c r="N8" s="25"/>
    </row>
    <row r="9" spans="2:16" ht="15">
      <c r="C9" s="16" t="s">
        <v>326</v>
      </c>
      <c r="F9" s="232">
        <v>3</v>
      </c>
      <c r="G9" s="3" t="s">
        <v>277</v>
      </c>
      <c r="N9" s="25"/>
    </row>
    <row r="10" spans="2:16" ht="15">
      <c r="C10" s="16" t="s">
        <v>292</v>
      </c>
      <c r="F10" s="231">
        <v>55</v>
      </c>
      <c r="G10" s="3" t="s">
        <v>298</v>
      </c>
      <c r="N10" s="25"/>
    </row>
    <row r="11" spans="2:16">
      <c r="N11" s="26"/>
    </row>
    <row r="12" spans="2:16" ht="30">
      <c r="E12" s="150"/>
      <c r="F12" s="123" t="s">
        <v>3</v>
      </c>
      <c r="G12" s="125" t="s">
        <v>4</v>
      </c>
      <c r="H12" s="123" t="s">
        <v>5</v>
      </c>
      <c r="I12" s="125" t="s">
        <v>4</v>
      </c>
      <c r="J12" s="123" t="s">
        <v>243</v>
      </c>
      <c r="K12" s="123" t="s">
        <v>258</v>
      </c>
      <c r="L12" s="123" t="s">
        <v>324</v>
      </c>
      <c r="N12" s="26"/>
    </row>
    <row r="13" spans="2:16" ht="15.75" thickBot="1">
      <c r="B13" s="32" t="s">
        <v>6</v>
      </c>
      <c r="C13" s="33" t="s">
        <v>7</v>
      </c>
      <c r="D13" s="34"/>
      <c r="E13" s="35"/>
      <c r="F13" s="4"/>
      <c r="G13" s="4"/>
      <c r="H13" s="4"/>
      <c r="I13" s="4"/>
      <c r="J13" s="4"/>
      <c r="K13" s="4"/>
      <c r="L13" s="4"/>
      <c r="N13" s="27"/>
    </row>
    <row r="14" spans="2:16" ht="15">
      <c r="B14" s="5" t="s">
        <v>8</v>
      </c>
      <c r="C14" s="36" t="s">
        <v>317</v>
      </c>
      <c r="E14" s="37"/>
      <c r="F14" s="83">
        <v>950</v>
      </c>
      <c r="G14" s="6" t="s">
        <v>199</v>
      </c>
      <c r="H14" s="263">
        <v>150</v>
      </c>
      <c r="I14" s="6" t="s">
        <v>21</v>
      </c>
      <c r="J14" s="7">
        <f>F14*H14*F9</f>
        <v>427500</v>
      </c>
      <c r="K14" s="38">
        <f>J14/$F$14</f>
        <v>450</v>
      </c>
      <c r="L14" s="234">
        <f>J14/($F$14*$F$9)</f>
        <v>150</v>
      </c>
      <c r="N14" s="26"/>
    </row>
    <row r="15" spans="2:16" ht="15">
      <c r="B15" s="5" t="s">
        <v>11</v>
      </c>
      <c r="C15" s="29" t="s">
        <v>19</v>
      </c>
      <c r="E15" s="151"/>
      <c r="F15" s="233">
        <f>0.009*F14</f>
        <v>8.5499999999999989</v>
      </c>
      <c r="G15" s="16" t="s">
        <v>207</v>
      </c>
      <c r="H15" s="264">
        <v>1500</v>
      </c>
      <c r="I15" s="16" t="s">
        <v>281</v>
      </c>
      <c r="J15" s="84">
        <f t="shared" ref="J15:J16" si="0">F15*H15</f>
        <v>12824.999999999998</v>
      </c>
      <c r="K15" s="40">
        <f>J15/$F$14</f>
        <v>13.499999999999998</v>
      </c>
      <c r="L15" s="167">
        <f t="shared" ref="L15:L16" si="1">J15/($F$14*$F$9)</f>
        <v>4.4999999999999991</v>
      </c>
      <c r="N15" s="26"/>
    </row>
    <row r="16" spans="2:16" ht="15.75" thickBot="1">
      <c r="B16" s="5" t="s">
        <v>22</v>
      </c>
      <c r="C16" s="29" t="s">
        <v>196</v>
      </c>
      <c r="E16" s="39"/>
      <c r="F16" s="51"/>
      <c r="G16" s="4" t="s">
        <v>199</v>
      </c>
      <c r="H16" s="99"/>
      <c r="I16" s="4" t="s">
        <v>210</v>
      </c>
      <c r="J16" s="84">
        <f t="shared" si="0"/>
        <v>0</v>
      </c>
      <c r="K16" s="40">
        <f>J16/$F$14</f>
        <v>0</v>
      </c>
      <c r="L16" s="167">
        <f t="shared" si="1"/>
        <v>0</v>
      </c>
      <c r="N16" s="26"/>
    </row>
    <row r="17" spans="2:14" ht="15.75" thickBot="1">
      <c r="B17" s="41"/>
      <c r="C17" s="42" t="s">
        <v>46</v>
      </c>
      <c r="D17" s="43"/>
      <c r="E17" s="43"/>
      <c r="F17" s="44"/>
      <c r="G17" s="45"/>
      <c r="H17" s="44"/>
      <c r="I17" s="45"/>
      <c r="J17" s="196">
        <f>SUM(J14:J16)</f>
        <v>440325</v>
      </c>
      <c r="K17" s="46">
        <f>SUM(K14:K16)</f>
        <v>463.5</v>
      </c>
      <c r="L17" s="169">
        <f>SUM(L14:L16)</f>
        <v>154.5</v>
      </c>
      <c r="N17" s="26"/>
    </row>
    <row r="18" spans="2:14" ht="15">
      <c r="B18" s="47" t="s">
        <v>13</v>
      </c>
      <c r="C18" s="29" t="s">
        <v>14</v>
      </c>
      <c r="E18" s="48"/>
      <c r="F18" s="8"/>
      <c r="H18" s="8"/>
      <c r="J18" s="8"/>
      <c r="K18" s="49"/>
      <c r="L18" s="49"/>
      <c r="N18" s="26"/>
    </row>
    <row r="19" spans="2:14">
      <c r="B19" s="5" t="s">
        <v>8</v>
      </c>
      <c r="C19" s="4" t="s">
        <v>309</v>
      </c>
      <c r="E19" s="65"/>
      <c r="F19" s="164">
        <f>+F8</f>
        <v>1000</v>
      </c>
      <c r="G19" s="4" t="s">
        <v>199</v>
      </c>
      <c r="H19" s="99">
        <v>50</v>
      </c>
      <c r="I19" s="4" t="s">
        <v>310</v>
      </c>
      <c r="J19" s="9">
        <f>F19*H19</f>
        <v>50000</v>
      </c>
      <c r="K19" s="163">
        <f>J19/$F$14</f>
        <v>52.631578947368418</v>
      </c>
      <c r="L19" s="178">
        <f>J19/($F$19*$F$9)</f>
        <v>16.666666666666668</v>
      </c>
      <c r="N19" s="26"/>
    </row>
    <row r="20" spans="2:14">
      <c r="B20" s="10" t="s">
        <v>11</v>
      </c>
      <c r="C20" s="3" t="s">
        <v>291</v>
      </c>
      <c r="E20" s="65"/>
      <c r="F20" s="9"/>
      <c r="G20" s="4"/>
      <c r="H20" s="165"/>
      <c r="I20" s="4"/>
      <c r="J20" s="9"/>
      <c r="K20" s="163"/>
      <c r="L20" s="178">
        <f t="shared" ref="L20:L41" si="2">J20/($F$19*$F$9)</f>
        <v>0</v>
      </c>
      <c r="N20" s="26"/>
    </row>
    <row r="21" spans="2:14" ht="15">
      <c r="B21" s="10"/>
      <c r="C21" s="161" t="s">
        <v>321</v>
      </c>
      <c r="D21" s="162"/>
      <c r="E21" s="162"/>
      <c r="F21" s="227">
        <f>SUM(F22:F35)</f>
        <v>5.8999999999999995</v>
      </c>
      <c r="G21" s="3" t="s">
        <v>277</v>
      </c>
      <c r="H21" s="165"/>
      <c r="J21" s="8"/>
      <c r="K21" s="163"/>
      <c r="L21" s="178">
        <f t="shared" si="2"/>
        <v>0</v>
      </c>
      <c r="N21" s="26"/>
    </row>
    <row r="22" spans="2:14">
      <c r="D22" s="4" t="s">
        <v>211</v>
      </c>
      <c r="E22" s="65"/>
      <c r="F22" s="99">
        <v>1.5</v>
      </c>
      <c r="G22" s="3" t="s">
        <v>232</v>
      </c>
      <c r="H22" s="99">
        <v>80</v>
      </c>
      <c r="I22" s="3" t="s">
        <v>21</v>
      </c>
      <c r="J22" s="8">
        <f>F22*H22*($F$14+($F$8-$F$14)/2)</f>
        <v>117000</v>
      </c>
      <c r="K22" s="163">
        <f t="shared" ref="K22:K41" si="3">J22/$F$14</f>
        <v>123.15789473684211</v>
      </c>
      <c r="L22" s="178">
        <f t="shared" si="2"/>
        <v>39</v>
      </c>
      <c r="N22" s="26" t="s">
        <v>319</v>
      </c>
    </row>
    <row r="23" spans="2:14">
      <c r="D23" s="3" t="s">
        <v>212</v>
      </c>
      <c r="E23" s="65"/>
      <c r="F23" s="99">
        <v>3</v>
      </c>
      <c r="G23" s="3" t="s">
        <v>232</v>
      </c>
      <c r="H23" s="99">
        <v>17</v>
      </c>
      <c r="I23" s="3" t="s">
        <v>21</v>
      </c>
      <c r="J23" s="8">
        <f t="shared" ref="J23:J36" si="4">F23*H23*($F$14+($F$8-$F$14)/2)</f>
        <v>49725</v>
      </c>
      <c r="K23" s="163">
        <f t="shared" si="3"/>
        <v>52.342105263157897</v>
      </c>
      <c r="L23" s="178">
        <f t="shared" si="2"/>
        <v>16.574999999999999</v>
      </c>
      <c r="N23" s="26"/>
    </row>
    <row r="24" spans="2:14">
      <c r="D24" s="3" t="s">
        <v>290</v>
      </c>
      <c r="E24" s="65"/>
      <c r="F24" s="99"/>
      <c r="G24" s="3" t="s">
        <v>232</v>
      </c>
      <c r="H24" s="99"/>
      <c r="I24" s="3" t="s">
        <v>21</v>
      </c>
      <c r="J24" s="8">
        <f t="shared" si="4"/>
        <v>0</v>
      </c>
      <c r="K24" s="163">
        <f t="shared" si="3"/>
        <v>0</v>
      </c>
      <c r="L24" s="178">
        <f t="shared" si="2"/>
        <v>0</v>
      </c>
      <c r="N24" s="26"/>
    </row>
    <row r="25" spans="2:14">
      <c r="D25" s="3" t="s">
        <v>217</v>
      </c>
      <c r="E25" s="65"/>
      <c r="F25" s="99">
        <v>0.8</v>
      </c>
      <c r="G25" s="3" t="s">
        <v>232</v>
      </c>
      <c r="H25" s="99">
        <v>85</v>
      </c>
      <c r="I25" s="3" t="s">
        <v>21</v>
      </c>
      <c r="J25" s="8">
        <f t="shared" si="4"/>
        <v>66300</v>
      </c>
      <c r="K25" s="163">
        <f t="shared" si="3"/>
        <v>69.78947368421052</v>
      </c>
      <c r="L25" s="178">
        <f t="shared" si="2"/>
        <v>22.1</v>
      </c>
      <c r="N25" s="26"/>
    </row>
    <row r="26" spans="2:14">
      <c r="D26" s="3" t="s">
        <v>182</v>
      </c>
      <c r="E26" s="31"/>
      <c r="F26" s="99">
        <v>0.3</v>
      </c>
      <c r="G26" s="3" t="s">
        <v>232</v>
      </c>
      <c r="H26" s="99">
        <v>22</v>
      </c>
      <c r="I26" s="3" t="s">
        <v>21</v>
      </c>
      <c r="J26" s="8">
        <f t="shared" si="4"/>
        <v>6435</v>
      </c>
      <c r="K26" s="163">
        <f t="shared" si="3"/>
        <v>6.7736842105263158</v>
      </c>
      <c r="L26" s="178">
        <f t="shared" si="2"/>
        <v>2.145</v>
      </c>
      <c r="N26" s="26"/>
    </row>
    <row r="27" spans="2:14">
      <c r="D27" s="17" t="s">
        <v>320</v>
      </c>
      <c r="E27" s="65"/>
      <c r="F27" s="99">
        <v>0.2</v>
      </c>
      <c r="G27" s="3" t="s">
        <v>232</v>
      </c>
      <c r="H27" s="99">
        <v>150</v>
      </c>
      <c r="I27" s="3" t="s">
        <v>21</v>
      </c>
      <c r="J27" s="8">
        <f t="shared" si="4"/>
        <v>29250</v>
      </c>
      <c r="K27" s="163">
        <f t="shared" si="3"/>
        <v>30.789473684210527</v>
      </c>
      <c r="L27" s="178">
        <f t="shared" si="2"/>
        <v>9.75</v>
      </c>
      <c r="N27" s="26"/>
    </row>
    <row r="28" spans="2:14">
      <c r="D28" s="4" t="s">
        <v>294</v>
      </c>
      <c r="E28" s="65"/>
      <c r="F28" s="99"/>
      <c r="G28" s="3" t="s">
        <v>232</v>
      </c>
      <c r="H28" s="99"/>
      <c r="I28" s="3" t="s">
        <v>21</v>
      </c>
      <c r="J28" s="8">
        <f t="shared" si="4"/>
        <v>0</v>
      </c>
      <c r="K28" s="163">
        <f t="shared" si="3"/>
        <v>0</v>
      </c>
      <c r="L28" s="178">
        <f t="shared" si="2"/>
        <v>0</v>
      </c>
      <c r="N28" s="26"/>
    </row>
    <row r="29" spans="2:14">
      <c r="D29" s="181" t="s">
        <v>295</v>
      </c>
      <c r="E29" s="65"/>
      <c r="F29" s="99"/>
      <c r="G29" s="3" t="s">
        <v>232</v>
      </c>
      <c r="H29" s="99"/>
      <c r="I29" s="3" t="s">
        <v>21</v>
      </c>
      <c r="J29" s="8">
        <f t="shared" si="4"/>
        <v>0</v>
      </c>
      <c r="K29" s="163">
        <f t="shared" si="3"/>
        <v>0</v>
      </c>
      <c r="L29" s="178">
        <f t="shared" si="2"/>
        <v>0</v>
      </c>
      <c r="N29" s="26"/>
    </row>
    <row r="30" spans="2:14">
      <c r="D30" s="4" t="s">
        <v>293</v>
      </c>
      <c r="E30" s="65"/>
      <c r="F30" s="99">
        <v>0.1</v>
      </c>
      <c r="G30" s="3" t="s">
        <v>232</v>
      </c>
      <c r="H30" s="99">
        <v>100</v>
      </c>
      <c r="I30" s="3" t="s">
        <v>21</v>
      </c>
      <c r="J30" s="8">
        <f t="shared" si="4"/>
        <v>9750</v>
      </c>
      <c r="K30" s="163">
        <f t="shared" si="3"/>
        <v>10.263157894736842</v>
      </c>
      <c r="L30" s="178">
        <f t="shared" si="2"/>
        <v>3.25</v>
      </c>
      <c r="N30" s="26"/>
    </row>
    <row r="31" spans="2:14">
      <c r="D31" s="181" t="s">
        <v>221</v>
      </c>
      <c r="E31" s="65"/>
      <c r="F31" s="99"/>
      <c r="G31" s="3" t="s">
        <v>232</v>
      </c>
      <c r="H31" s="99"/>
      <c r="I31" s="3" t="s">
        <v>21</v>
      </c>
      <c r="J31" s="8">
        <f t="shared" si="4"/>
        <v>0</v>
      </c>
      <c r="K31" s="163">
        <f t="shared" si="3"/>
        <v>0</v>
      </c>
      <c r="L31" s="178">
        <f t="shared" si="2"/>
        <v>0</v>
      </c>
      <c r="N31" s="26"/>
    </row>
    <row r="32" spans="2:14">
      <c r="D32" s="52"/>
      <c r="E32" s="65"/>
      <c r="F32" s="99"/>
      <c r="G32" s="3" t="s">
        <v>232</v>
      </c>
      <c r="H32" s="99"/>
      <c r="I32" s="3" t="s">
        <v>21</v>
      </c>
      <c r="J32" s="8">
        <f t="shared" si="4"/>
        <v>0</v>
      </c>
      <c r="K32" s="163">
        <f t="shared" si="3"/>
        <v>0</v>
      </c>
      <c r="L32" s="178">
        <f t="shared" si="2"/>
        <v>0</v>
      </c>
      <c r="N32" s="26"/>
    </row>
    <row r="33" spans="2:14">
      <c r="D33" s="52"/>
      <c r="E33" s="31"/>
      <c r="F33" s="99"/>
      <c r="G33" s="3" t="s">
        <v>232</v>
      </c>
      <c r="H33" s="99"/>
      <c r="I33" s="3" t="s">
        <v>21</v>
      </c>
      <c r="J33" s="8">
        <f t="shared" si="4"/>
        <v>0</v>
      </c>
      <c r="K33" s="163">
        <f t="shared" si="3"/>
        <v>0</v>
      </c>
      <c r="L33" s="178">
        <f t="shared" si="2"/>
        <v>0</v>
      </c>
      <c r="N33" s="26"/>
    </row>
    <row r="34" spans="2:14">
      <c r="D34" s="52"/>
      <c r="E34" s="39"/>
      <c r="F34" s="99"/>
      <c r="G34" s="3" t="s">
        <v>232</v>
      </c>
      <c r="H34" s="99"/>
      <c r="I34" s="3" t="s">
        <v>21</v>
      </c>
      <c r="J34" s="8">
        <f t="shared" si="4"/>
        <v>0</v>
      </c>
      <c r="K34" s="163">
        <f t="shared" si="3"/>
        <v>0</v>
      </c>
      <c r="L34" s="178">
        <f t="shared" si="2"/>
        <v>0</v>
      </c>
      <c r="N34" s="26"/>
    </row>
    <row r="35" spans="2:14">
      <c r="D35" s="52"/>
      <c r="E35" s="39"/>
      <c r="F35" s="99"/>
      <c r="G35" s="3" t="s">
        <v>232</v>
      </c>
      <c r="H35" s="99"/>
      <c r="I35" s="3" t="s">
        <v>21</v>
      </c>
      <c r="J35" s="8">
        <f t="shared" si="4"/>
        <v>0</v>
      </c>
      <c r="K35" s="163">
        <f t="shared" si="3"/>
        <v>0</v>
      </c>
      <c r="L35" s="178">
        <f t="shared" si="2"/>
        <v>0</v>
      </c>
      <c r="N35" s="26"/>
    </row>
    <row r="36" spans="2:14" ht="16.5">
      <c r="B36" s="10" t="s">
        <v>22</v>
      </c>
      <c r="C36" s="3" t="s">
        <v>268</v>
      </c>
      <c r="E36" s="31"/>
      <c r="F36" s="99">
        <v>0.6</v>
      </c>
      <c r="G36" s="3" t="s">
        <v>314</v>
      </c>
      <c r="H36" s="99">
        <v>50</v>
      </c>
      <c r="I36" s="3" t="s">
        <v>260</v>
      </c>
      <c r="J36" s="8">
        <f t="shared" si="4"/>
        <v>29250</v>
      </c>
      <c r="K36" s="163">
        <f t="shared" si="3"/>
        <v>30.789473684210527</v>
      </c>
      <c r="L36" s="178">
        <f t="shared" si="2"/>
        <v>9.75</v>
      </c>
      <c r="N36" s="26"/>
    </row>
    <row r="37" spans="2:14">
      <c r="B37" s="10" t="s">
        <v>30</v>
      </c>
      <c r="C37" s="3" t="s">
        <v>323</v>
      </c>
      <c r="D37" s="17"/>
      <c r="E37" s="31"/>
      <c r="F37" s="51">
        <v>700</v>
      </c>
      <c r="G37" s="3" t="s">
        <v>322</v>
      </c>
      <c r="H37" s="99">
        <v>8</v>
      </c>
      <c r="I37" s="3" t="s">
        <v>312</v>
      </c>
      <c r="J37" s="8">
        <f>F37*H37</f>
        <v>5600</v>
      </c>
      <c r="K37" s="163">
        <f t="shared" si="3"/>
        <v>5.8947368421052628</v>
      </c>
      <c r="L37" s="178">
        <f t="shared" si="2"/>
        <v>1.8666666666666667</v>
      </c>
      <c r="N37" s="26"/>
    </row>
    <row r="38" spans="2:14">
      <c r="B38" s="10" t="s">
        <v>35</v>
      </c>
      <c r="C38" s="3" t="s">
        <v>235</v>
      </c>
      <c r="D38" s="17"/>
      <c r="F38" s="175"/>
      <c r="H38" s="99">
        <v>20</v>
      </c>
      <c r="I38" s="3" t="s">
        <v>310</v>
      </c>
      <c r="J38" s="8">
        <f>H38*$F$8</f>
        <v>20000</v>
      </c>
      <c r="K38" s="163">
        <f t="shared" si="3"/>
        <v>21.05263157894737</v>
      </c>
      <c r="L38" s="178">
        <f t="shared" si="2"/>
        <v>6.666666666666667</v>
      </c>
      <c r="N38" s="26"/>
    </row>
    <row r="39" spans="2:14">
      <c r="B39" s="10" t="s">
        <v>40</v>
      </c>
      <c r="C39" s="67" t="s">
        <v>236</v>
      </c>
      <c r="E39" s="65"/>
      <c r="F39" s="165"/>
      <c r="H39" s="99">
        <v>2</v>
      </c>
      <c r="I39" s="3" t="s">
        <v>310</v>
      </c>
      <c r="J39" s="8">
        <f t="shared" ref="J39:J40" si="5">H39*$F$8</f>
        <v>2000</v>
      </c>
      <c r="K39" s="163">
        <f t="shared" si="3"/>
        <v>2.1052631578947367</v>
      </c>
      <c r="L39" s="178">
        <f t="shared" si="2"/>
        <v>0.66666666666666663</v>
      </c>
      <c r="N39" s="26"/>
    </row>
    <row r="40" spans="2:14">
      <c r="B40" s="10" t="s">
        <v>60</v>
      </c>
      <c r="C40" s="67" t="s">
        <v>237</v>
      </c>
      <c r="E40" s="65"/>
      <c r="F40" s="165"/>
      <c r="H40" s="99"/>
      <c r="I40" s="3" t="s">
        <v>310</v>
      </c>
      <c r="J40" s="8">
        <f t="shared" si="5"/>
        <v>0</v>
      </c>
      <c r="K40" s="163">
        <f t="shared" si="3"/>
        <v>0</v>
      </c>
      <c r="L40" s="178">
        <f t="shared" si="2"/>
        <v>0</v>
      </c>
      <c r="N40" s="26"/>
    </row>
    <row r="41" spans="2:14" ht="15" thickBot="1">
      <c r="B41" s="10" t="s">
        <v>62</v>
      </c>
      <c r="C41" s="67" t="s">
        <v>282</v>
      </c>
      <c r="E41" s="65"/>
      <c r="F41" s="165"/>
      <c r="H41" s="228">
        <v>0.1</v>
      </c>
      <c r="I41" s="105" t="s">
        <v>238</v>
      </c>
      <c r="J41" s="8">
        <f>SUM(J19:J40)*H41*0.15</f>
        <v>5779.65</v>
      </c>
      <c r="K41" s="163">
        <f t="shared" si="3"/>
        <v>6.0838421052631579</v>
      </c>
      <c r="L41" s="178">
        <f t="shared" si="2"/>
        <v>1.92655</v>
      </c>
      <c r="N41" s="26" t="s">
        <v>342</v>
      </c>
    </row>
    <row r="42" spans="2:14" ht="15.75" thickBot="1">
      <c r="B42" s="41"/>
      <c r="C42" s="42" t="s">
        <v>101</v>
      </c>
      <c r="D42" s="43"/>
      <c r="E42" s="43"/>
      <c r="F42" s="44"/>
      <c r="G42" s="45"/>
      <c r="H42" s="44"/>
      <c r="I42" s="45"/>
      <c r="J42" s="196">
        <f>SUM(J19:J41)</f>
        <v>391089.65</v>
      </c>
      <c r="K42" s="46">
        <f>SUM(K19:K41)</f>
        <v>411.67331578947369</v>
      </c>
      <c r="L42" s="169">
        <f>SUM(L19:L41)</f>
        <v>130.36321666666666</v>
      </c>
      <c r="N42" s="26"/>
    </row>
    <row r="43" spans="2:14" ht="15.75" thickBot="1">
      <c r="B43" s="70" t="s">
        <v>103</v>
      </c>
      <c r="C43" s="71" t="s">
        <v>102</v>
      </c>
      <c r="D43" s="71"/>
      <c r="E43" s="72"/>
      <c r="F43" s="72"/>
      <c r="G43" s="72"/>
      <c r="H43" s="73"/>
      <c r="I43" s="72"/>
      <c r="J43" s="77">
        <f>J17-J42</f>
        <v>49235.349999999977</v>
      </c>
      <c r="K43" s="28">
        <f>K17-K42</f>
        <v>51.826684210526309</v>
      </c>
      <c r="L43" s="189">
        <f>L17-L42</f>
        <v>24.136783333333341</v>
      </c>
      <c r="N43" s="26"/>
    </row>
    <row r="44" spans="2:14" ht="15" thickTop="1">
      <c r="N44" s="64"/>
    </row>
    <row r="46" spans="2:14" ht="15.75" thickBot="1">
      <c r="C46" s="89" t="s">
        <v>316</v>
      </c>
      <c r="D46" s="90"/>
      <c r="E46" s="90"/>
      <c r="F46" s="90"/>
      <c r="G46" s="90"/>
      <c r="H46" s="90"/>
    </row>
    <row r="47" spans="2:14" ht="15" thickBot="1"/>
    <row r="48" spans="2:14" ht="15.75" thickTop="1">
      <c r="C48" s="74" t="s">
        <v>7</v>
      </c>
      <c r="D48" s="75"/>
      <c r="E48" s="75"/>
      <c r="F48" s="76" t="s">
        <v>250</v>
      </c>
    </row>
    <row r="49" spans="2:6">
      <c r="C49" s="53" t="s">
        <v>307</v>
      </c>
      <c r="F49" s="175">
        <f>K14</f>
        <v>450</v>
      </c>
    </row>
    <row r="50" spans="2:6" ht="15" thickBot="1">
      <c r="C50" s="54" t="s">
        <v>19</v>
      </c>
      <c r="F50" s="175">
        <f>K15</f>
        <v>13.499999999999998</v>
      </c>
    </row>
    <row r="51" spans="2:6" ht="15.75" thickBot="1">
      <c r="B51" s="55"/>
      <c r="C51" s="42" t="s">
        <v>46</v>
      </c>
      <c r="D51" s="43"/>
      <c r="E51" s="43"/>
      <c r="F51" s="235">
        <f>SUM(F49:F50)</f>
        <v>463.5</v>
      </c>
    </row>
    <row r="52" spans="2:6" ht="15">
      <c r="B52" s="55"/>
      <c r="C52" s="29" t="s">
        <v>14</v>
      </c>
      <c r="F52" s="175"/>
    </row>
    <row r="53" spans="2:6">
      <c r="C53" s="54" t="s">
        <v>308</v>
      </c>
      <c r="F53" s="175">
        <f>K19</f>
        <v>52.631578947368418</v>
      </c>
    </row>
    <row r="54" spans="2:6">
      <c r="C54" s="54" t="s">
        <v>303</v>
      </c>
      <c r="F54" s="175">
        <f>SUM(K22:K35)</f>
        <v>293.11578947368417</v>
      </c>
    </row>
    <row r="55" spans="2:6">
      <c r="C55" s="54" t="s">
        <v>231</v>
      </c>
      <c r="F55" s="175">
        <f>K36</f>
        <v>30.789473684210527</v>
      </c>
    </row>
    <row r="56" spans="2:6">
      <c r="C56" s="54" t="s">
        <v>311</v>
      </c>
      <c r="F56" s="175">
        <f>K37</f>
        <v>5.8947368421052628</v>
      </c>
    </row>
    <row r="57" spans="2:6">
      <c r="C57" s="54" t="s">
        <v>235</v>
      </c>
      <c r="F57" s="175">
        <f>K38</f>
        <v>21.05263157894737</v>
      </c>
    </row>
    <row r="58" spans="2:6">
      <c r="C58" s="54" t="s">
        <v>236</v>
      </c>
      <c r="F58" s="175">
        <f t="shared" ref="F58:F60" si="6">K39</f>
        <v>2.1052631578947367</v>
      </c>
    </row>
    <row r="59" spans="2:6">
      <c r="C59" s="54" t="s">
        <v>237</v>
      </c>
      <c r="F59" s="175">
        <f t="shared" si="6"/>
        <v>0</v>
      </c>
    </row>
    <row r="60" spans="2:6" ht="15" thickBot="1">
      <c r="C60" s="54" t="s">
        <v>282</v>
      </c>
      <c r="F60" s="175">
        <f t="shared" si="6"/>
        <v>6.0838421052631579</v>
      </c>
    </row>
    <row r="61" spans="2:6" ht="15.75" thickBot="1">
      <c r="C61" s="42" t="s">
        <v>101</v>
      </c>
      <c r="D61" s="43"/>
      <c r="E61" s="43"/>
      <c r="F61" s="235">
        <f>SUM(F53:F60)</f>
        <v>411.67331578947369</v>
      </c>
    </row>
    <row r="62" spans="2:6" ht="15.75" thickBot="1">
      <c r="C62" s="71" t="s">
        <v>42</v>
      </c>
      <c r="D62" s="72"/>
      <c r="E62" s="72"/>
      <c r="F62" s="236">
        <f>F51-F61</f>
        <v>51.826684210526309</v>
      </c>
    </row>
    <row r="63" spans="2:6" ht="15.75" thickTop="1">
      <c r="C63" s="96"/>
      <c r="D63" s="97"/>
      <c r="E63" s="97"/>
      <c r="F63" s="63"/>
    </row>
    <row r="90" spans="4:12" ht="15.75" thickBot="1">
      <c r="D90" s="89" t="s">
        <v>108</v>
      </c>
      <c r="E90" s="90"/>
      <c r="F90" s="90"/>
      <c r="G90" s="90"/>
      <c r="H90" s="90"/>
      <c r="I90" s="90"/>
      <c r="J90" s="90"/>
      <c r="K90" s="16"/>
      <c r="L90" s="16"/>
    </row>
    <row r="92" spans="4:12" ht="15.75" thickBot="1">
      <c r="D92" s="12"/>
      <c r="E92" s="13"/>
      <c r="F92" s="14"/>
      <c r="G92" s="57"/>
      <c r="H92" s="57" t="s">
        <v>160</v>
      </c>
      <c r="I92" s="57"/>
      <c r="J92" s="79"/>
    </row>
    <row r="93" spans="4:12">
      <c r="D93" s="15"/>
      <c r="E93" s="16"/>
      <c r="F93" s="154">
        <v>-0.2</v>
      </c>
      <c r="G93" s="154">
        <v>-0.1</v>
      </c>
      <c r="H93" s="59" t="s">
        <v>110</v>
      </c>
      <c r="I93" s="154">
        <v>0.1</v>
      </c>
      <c r="J93" s="155">
        <v>0.2</v>
      </c>
    </row>
    <row r="94" spans="4:12" ht="15.75" thickBot="1">
      <c r="D94" s="60" t="s">
        <v>272</v>
      </c>
      <c r="E94" s="61"/>
      <c r="F94" s="240">
        <f>H94*(1+F93)</f>
        <v>120</v>
      </c>
      <c r="G94" s="240">
        <f>H94*(1+G93)</f>
        <v>135</v>
      </c>
      <c r="H94" s="240">
        <f>H14</f>
        <v>150</v>
      </c>
      <c r="I94" s="241">
        <f>$H$94*(1+I93)</f>
        <v>165</v>
      </c>
      <c r="J94" s="242">
        <f>$H$94*(1+J93)</f>
        <v>180</v>
      </c>
    </row>
    <row r="95" spans="4:12" ht="15">
      <c r="D95" s="152">
        <v>-0.1</v>
      </c>
      <c r="E95" s="237">
        <f>$E$97*(1+D95)</f>
        <v>2.7</v>
      </c>
      <c r="F95" s="88">
        <f>$H$95-$E$95*($H$94-F94)</f>
        <v>-101.86321666666663</v>
      </c>
      <c r="G95" s="88">
        <f>$H$95-$E$95*($H$94-G94)</f>
        <v>-61.363216666666631</v>
      </c>
      <c r="H95" s="88">
        <f>$H$97-($E$97-E95)*$H$94</f>
        <v>-20.863216666666631</v>
      </c>
      <c r="I95" s="84">
        <f>$H$95+$E$95*(I94-$H$94)</f>
        <v>19.636783333333369</v>
      </c>
      <c r="J95" s="85">
        <f>$H$95+$E$95*(J94-$H$94)</f>
        <v>60.136783333333369</v>
      </c>
    </row>
    <row r="96" spans="4:12" ht="15">
      <c r="D96" s="152">
        <v>-0.05</v>
      </c>
      <c r="E96" s="237">
        <f>$E$97*(1+D96)</f>
        <v>2.8499999999999996</v>
      </c>
      <c r="F96" s="88">
        <f>$H$96-$E$96*($H$94-F94)</f>
        <v>-83.863216666666702</v>
      </c>
      <c r="G96" s="88">
        <f>$H$96-$E$96*($H$94-G94)</f>
        <v>-41.113216666666702</v>
      </c>
      <c r="H96" s="88">
        <f>$H$97-($E$97-E96)*$H$94</f>
        <v>1.6367833333332875</v>
      </c>
      <c r="I96" s="88">
        <f>$H$96+$E$96*(I94-$H$94)</f>
        <v>44.386783333333284</v>
      </c>
      <c r="J96" s="91">
        <f>$H$96+$E$96*(J94-$H$94)</f>
        <v>87.13678333333327</v>
      </c>
    </row>
    <row r="97" spans="4:10" ht="15">
      <c r="D97" s="18" t="s">
        <v>43</v>
      </c>
      <c r="E97" s="237">
        <f>F9</f>
        <v>3</v>
      </c>
      <c r="F97" s="88">
        <f>$H$97-$E$97*($H$94-F94)</f>
        <v>-65.863216666666659</v>
      </c>
      <c r="G97" s="88">
        <f>$H$97-$E$97*($H$94-G94)</f>
        <v>-20.863216666666659</v>
      </c>
      <c r="H97" s="63">
        <f>L43</f>
        <v>24.136783333333341</v>
      </c>
      <c r="I97" s="84">
        <f>$H$97+$E$97*(I94-$H$94)</f>
        <v>69.136783333333341</v>
      </c>
      <c r="J97" s="85">
        <f>$H$97+$E$97*(J94-$H$94)</f>
        <v>114.13678333333334</v>
      </c>
    </row>
    <row r="98" spans="4:10" ht="15">
      <c r="D98" s="152">
        <v>0.05</v>
      </c>
      <c r="E98" s="238">
        <f>$E$97*(1+D98)</f>
        <v>3.1500000000000004</v>
      </c>
      <c r="F98" s="84">
        <f>$H$98-$E$98*($H$94-F94)</f>
        <v>-47.863216666666617</v>
      </c>
      <c r="G98" s="84">
        <f>$H$98-$E$98*($H$94-G94)</f>
        <v>-0.61321666666660946</v>
      </c>
      <c r="H98" s="88">
        <f>$H$97-($E$97-E98)*$H$94</f>
        <v>46.636783333333398</v>
      </c>
      <c r="I98" s="84">
        <f>$H$98+$E$98*(I94-$H$94)</f>
        <v>93.886783333333398</v>
      </c>
      <c r="J98" s="85">
        <f>$H$98+$E$98*(J94-$H$94)</f>
        <v>141.13678333333343</v>
      </c>
    </row>
    <row r="99" spans="4:10" ht="15">
      <c r="D99" s="153">
        <v>0.1</v>
      </c>
      <c r="E99" s="239">
        <f>$E$97*(1+D99)</f>
        <v>3.3000000000000003</v>
      </c>
      <c r="F99" s="86">
        <f>$H$99-$E$99*($H$94-F94)</f>
        <v>-29.863216666666631</v>
      </c>
      <c r="G99" s="86">
        <f>$H$99-$E$99*($H$94-G94)</f>
        <v>19.636783333333376</v>
      </c>
      <c r="H99" s="95">
        <f>$H$97-($E$97-E99)*$H$94</f>
        <v>69.136783333333383</v>
      </c>
      <c r="I99" s="86">
        <f>$H$99+$E$99*(I94-$H$94)</f>
        <v>118.6367833333334</v>
      </c>
      <c r="J99" s="87">
        <f>$H$99+$E$99*(J94-$H$94)</f>
        <v>168.1367833333334</v>
      </c>
    </row>
  </sheetData>
  <sheetProtection password="B310" sheet="1" objects="1" scenarios="1"/>
  <protectedRanges>
    <protectedRange sqref="D98:D99" name="Range11"/>
    <protectedRange sqref="D95:D96" name="Range10"/>
    <protectedRange sqref="F93:G93" name="Range9"/>
    <protectedRange sqref="I93:J93" name="Range8"/>
    <protectedRange sqref="N4:N43" name="Range7"/>
    <protectedRange sqref="D22:F41" name="Range6"/>
    <protectedRange sqref="G19:I41" name="Range5"/>
    <protectedRange sqref="F16" name="Range4"/>
    <protectedRange sqref="F14" name="Range3"/>
    <protectedRange sqref="G14:I16" name="Range2"/>
    <protectedRange sqref="F4:F10" name="Range1"/>
  </protectedRanges>
  <conditionalFormatting sqref="J4">
    <cfRule type="cellIs" dxfId="43" priority="3" operator="lessThan">
      <formula>1.7</formula>
    </cfRule>
    <cfRule type="cellIs" dxfId="42" priority="4" operator="greaterThan">
      <formula>2.3</formula>
    </cfRule>
  </conditionalFormatting>
  <pageMargins left="0.31496062992125984" right="0.31496062992125984" top="0.74803149606299213" bottom="0.74803149606299213" header="0.31496062992125984" footer="0.31496062992125984"/>
  <pageSetup paperSize="9" scale="89" orientation="portrait" verticalDpi="0" r:id="rId1"/>
  <rowBreaks count="1" manualBreakCount="1">
    <brk id="45" max="11" man="1"/>
  </rowBreaks>
  <ignoredErrors>
    <ignoredError sqref="F21" formulaRange="1"/>
    <ignoredError sqref="H9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7"/>
  <sheetViews>
    <sheetView workbookViewId="0">
      <selection activeCell="H24" sqref="H24"/>
    </sheetView>
  </sheetViews>
  <sheetFormatPr defaultRowHeight="14.25"/>
  <cols>
    <col min="1" max="1" width="3.140625" style="3" customWidth="1"/>
    <col min="2" max="2" width="3.5703125" style="3" customWidth="1"/>
    <col min="3" max="3" width="14.7109375" style="3" bestFit="1" customWidth="1"/>
    <col min="4" max="4" width="10.7109375" style="3" bestFit="1" customWidth="1"/>
    <col min="5" max="5" width="8.42578125" style="3" bestFit="1" customWidth="1"/>
    <col min="6" max="9" width="12" style="3" customWidth="1"/>
    <col min="10" max="16384" width="9.140625" style="3"/>
  </cols>
  <sheetData>
    <row r="1" spans="2:9" ht="23.25">
      <c r="B1" s="82" t="s">
        <v>283</v>
      </c>
    </row>
    <row r="2" spans="2:9" ht="15" thickBot="1"/>
    <row r="3" spans="2:9" ht="30">
      <c r="C3" s="217" t="s">
        <v>284</v>
      </c>
      <c r="D3" s="218" t="s">
        <v>286</v>
      </c>
      <c r="E3" s="218" t="s">
        <v>5</v>
      </c>
      <c r="F3" s="218" t="s">
        <v>7</v>
      </c>
      <c r="G3" s="218" t="s">
        <v>14</v>
      </c>
      <c r="H3" s="218" t="s">
        <v>287</v>
      </c>
      <c r="I3" s="218" t="s">
        <v>419</v>
      </c>
    </row>
    <row r="4" spans="2:9" ht="15" thickBot="1">
      <c r="C4" s="219"/>
      <c r="D4" s="220" t="s">
        <v>288</v>
      </c>
      <c r="E4" s="220" t="s">
        <v>289</v>
      </c>
      <c r="F4" s="220" t="s">
        <v>107</v>
      </c>
      <c r="G4" s="220" t="s">
        <v>107</v>
      </c>
      <c r="H4" s="220" t="s">
        <v>107</v>
      </c>
      <c r="I4" s="220" t="s">
        <v>107</v>
      </c>
    </row>
    <row r="5" spans="2:9" ht="15">
      <c r="B5" s="29" t="s">
        <v>8</v>
      </c>
      <c r="C5" s="29" t="s">
        <v>212</v>
      </c>
      <c r="D5" s="221">
        <f>'1.Kukuruz'!$F$8/1000</f>
        <v>9</v>
      </c>
      <c r="E5" s="221">
        <f>'1.Kukuruz'!$H$8</f>
        <v>17</v>
      </c>
      <c r="F5" s="8">
        <f>'1.Kukuruz'!$J$10</f>
        <v>153000</v>
      </c>
      <c r="G5" s="8">
        <f>'1.Kukuruz'!$J$46</f>
        <v>75555</v>
      </c>
      <c r="H5" s="8">
        <f>F5-G5</f>
        <v>77445</v>
      </c>
      <c r="I5" s="8">
        <f>+'1.Kukuruz'!J48</f>
        <v>78536.808307692307</v>
      </c>
    </row>
    <row r="6" spans="2:9" ht="15">
      <c r="B6" s="29" t="s">
        <v>11</v>
      </c>
      <c r="C6" s="29" t="s">
        <v>182</v>
      </c>
      <c r="D6" s="221">
        <f>'2.Pšenica'!$F$8/1000</f>
        <v>7.5</v>
      </c>
      <c r="E6" s="221">
        <f>'2.Pšenica'!$H$8</f>
        <v>17</v>
      </c>
      <c r="F6" s="8">
        <f>'2.Pšenica'!$J$10</f>
        <v>135000</v>
      </c>
      <c r="G6" s="8">
        <f>'2.Pšenica'!$J$45</f>
        <v>74060</v>
      </c>
      <c r="H6" s="8">
        <f t="shared" ref="H6" si="0">F6-G6</f>
        <v>60940</v>
      </c>
      <c r="I6" s="8">
        <f>+'2.Pšenica'!J47</f>
        <v>53856.11018394649</v>
      </c>
    </row>
    <row r="7" spans="2:9" ht="15">
      <c r="B7" s="29" t="s">
        <v>22</v>
      </c>
      <c r="C7" s="29" t="s">
        <v>181</v>
      </c>
      <c r="D7" s="221">
        <f>'3.Soja'!$F$8/1000</f>
        <v>3</v>
      </c>
      <c r="E7" s="221">
        <f>'3.Soja'!$H$8</f>
        <v>45</v>
      </c>
      <c r="F7" s="8">
        <f>'3.Soja'!$J$10</f>
        <v>141000</v>
      </c>
      <c r="G7" s="8">
        <f>'3.Soja'!$J$45</f>
        <v>74425</v>
      </c>
      <c r="H7" s="8">
        <f>F7-G7</f>
        <v>66575</v>
      </c>
      <c r="I7" s="8">
        <f>+'3.Soja'!J47</f>
        <v>59857.926555183949</v>
      </c>
    </row>
    <row r="8" spans="2:9" ht="15">
      <c r="B8" s="29" t="s">
        <v>30</v>
      </c>
      <c r="C8" s="29" t="s">
        <v>180</v>
      </c>
      <c r="D8" s="221">
        <f>'4.Suncokret'!$F$8/1000</f>
        <v>3.7</v>
      </c>
      <c r="E8" s="221">
        <f>'4.Suncokret'!$H$8</f>
        <v>35</v>
      </c>
      <c r="F8" s="8">
        <f>'4.Suncokret'!$J$10</f>
        <v>129500</v>
      </c>
      <c r="G8" s="8">
        <f>'4.Suncokret'!$J$45</f>
        <v>64474.166666666664</v>
      </c>
      <c r="H8" s="8">
        <f>F8-G8</f>
        <v>65025.833333333336</v>
      </c>
      <c r="I8" s="8">
        <f>+'4.Suncokret'!J47</f>
        <v>65629.696978818291</v>
      </c>
    </row>
    <row r="9" spans="2:9" ht="15">
      <c r="B9" s="29" t="s">
        <v>35</v>
      </c>
      <c r="C9" s="29" t="s">
        <v>395</v>
      </c>
      <c r="D9" s="329">
        <f>'5.Uljana repica'!F8/1000</f>
        <v>3.5</v>
      </c>
      <c r="E9" s="330">
        <f>'5.Uljana repica'!H8</f>
        <v>40</v>
      </c>
      <c r="F9" s="9">
        <f>'5.Uljana repica'!J10</f>
        <v>140000</v>
      </c>
      <c r="G9" s="9">
        <f>'5.Uljana repica'!J45</f>
        <v>68896</v>
      </c>
      <c r="H9" s="8">
        <f t="shared" ref="H9:H13" si="1">F9-G9</f>
        <v>71104</v>
      </c>
      <c r="I9" s="8">
        <f>'5.Uljana repica'!J47</f>
        <v>72653.204682274241</v>
      </c>
    </row>
    <row r="10" spans="2:9" ht="15">
      <c r="B10" s="29" t="s">
        <v>40</v>
      </c>
      <c r="C10" s="29" t="s">
        <v>138</v>
      </c>
      <c r="D10" s="329">
        <f>'6.Š.Repa'!$F$8/1000</f>
        <v>55</v>
      </c>
      <c r="E10" s="329">
        <f>'6.Š.Repa'!$H$8</f>
        <v>5</v>
      </c>
      <c r="F10" s="9">
        <f>'6.Š.Repa'!$J$10</f>
        <v>275000</v>
      </c>
      <c r="G10" s="9">
        <f>'6.Š.Repa'!$J$48</f>
        <v>161589.16666666669</v>
      </c>
      <c r="H10" s="8">
        <f t="shared" si="1"/>
        <v>113410.83333333331</v>
      </c>
      <c r="I10" s="8">
        <f>+'6.Š.Repa'!J50</f>
        <v>113955.76259754736</v>
      </c>
    </row>
    <row r="11" spans="2:9" ht="15">
      <c r="B11" s="29" t="s">
        <v>60</v>
      </c>
      <c r="C11" s="29" t="s">
        <v>213</v>
      </c>
      <c r="D11" s="329">
        <f>'7.Ječam'!F8/1000</f>
        <v>7</v>
      </c>
      <c r="E11" s="329">
        <f>'7.Ječam'!H8</f>
        <v>16.5</v>
      </c>
      <c r="F11" s="9">
        <f>'7.Ječam'!J10</f>
        <v>115500</v>
      </c>
      <c r="G11" s="9">
        <f>'7.Ječam'!J45</f>
        <v>71746.666666666657</v>
      </c>
      <c r="H11" s="8">
        <f t="shared" si="1"/>
        <v>43753.333333333343</v>
      </c>
      <c r="I11" s="8">
        <f>+'7.Ječam'!J47</f>
        <v>44988.379253065781</v>
      </c>
    </row>
    <row r="12" spans="2:9" ht="15">
      <c r="B12" s="29" t="s">
        <v>62</v>
      </c>
      <c r="C12" s="29" t="s">
        <v>285</v>
      </c>
      <c r="D12" s="329">
        <f>'8.Krompir'!F8/1000</f>
        <v>27</v>
      </c>
      <c r="E12" s="329">
        <f>'8.Krompir'!H8</f>
        <v>20</v>
      </c>
      <c r="F12" s="9">
        <f>'8.Krompir'!J10</f>
        <v>540000</v>
      </c>
      <c r="G12" s="9">
        <f>'8.Krompir'!J45</f>
        <v>353653.33333333337</v>
      </c>
      <c r="H12" s="8">
        <f t="shared" si="1"/>
        <v>186346.66666666663</v>
      </c>
      <c r="I12" s="8">
        <f>'8.Krompir'!J47</f>
        <v>189806.13285395759</v>
      </c>
    </row>
    <row r="13" spans="2:9" ht="15">
      <c r="B13" s="29" t="s">
        <v>67</v>
      </c>
      <c r="C13" s="29" t="s">
        <v>456</v>
      </c>
      <c r="D13" s="328">
        <f>('9.Lucerka'!E11*'9.Lucerka'!D11+'9.Lucerka'!E10*'9.Lucerka'!D10)/1000</f>
        <v>9</v>
      </c>
      <c r="E13" s="325">
        <f>'9.Lucerka'!G10</f>
        <v>16</v>
      </c>
      <c r="F13" s="8">
        <f>'9.Lucerka'!I12</f>
        <v>144000</v>
      </c>
      <c r="G13" s="8">
        <f>'9.Lucerka'!I49</f>
        <v>95000</v>
      </c>
      <c r="H13" s="8">
        <f t="shared" si="1"/>
        <v>49000</v>
      </c>
      <c r="I13" s="8">
        <f>'9.Lucerka'!I51</f>
        <v>49806.553043478263</v>
      </c>
    </row>
    <row r="15" spans="2:9" ht="15">
      <c r="B15" s="186"/>
      <c r="C15" s="3" t="s">
        <v>488</v>
      </c>
    </row>
    <row r="16" spans="2:9">
      <c r="C16" s="3" t="s">
        <v>489</v>
      </c>
    </row>
    <row r="17" spans="3:3">
      <c r="C17" s="3" t="s">
        <v>490</v>
      </c>
    </row>
  </sheetData>
  <sheetProtection password="B310" sheet="1" objects="1" scenarios="1"/>
  <pageMargins left="0.7" right="0.7" top="0.75" bottom="0.75" header="0.3" footer="0.3"/>
  <pageSetup paperSize="9" scale="67" orientation="landscape" verticalDpi="0" r:id="rId1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I43"/>
  <sheetViews>
    <sheetView workbookViewId="0">
      <selection activeCell="G26" sqref="G26"/>
    </sheetView>
  </sheetViews>
  <sheetFormatPr defaultRowHeight="12.75"/>
  <cols>
    <col min="1" max="1" width="2.5703125" customWidth="1"/>
    <col min="2" max="2" width="4.140625" customWidth="1"/>
    <col min="3" max="3" width="41.28515625" customWidth="1"/>
    <col min="4" max="4" width="9.28515625" bestFit="1" customWidth="1"/>
    <col min="5" max="5" width="13.85546875" bestFit="1" customWidth="1"/>
    <col min="6" max="6" width="12.85546875" customWidth="1"/>
    <col min="7" max="7" width="10.85546875" customWidth="1"/>
    <col min="8" max="8" width="6.85546875" customWidth="1"/>
  </cols>
  <sheetData>
    <row r="2" spans="2:9" ht="23.25">
      <c r="C2" s="82" t="s">
        <v>396</v>
      </c>
    </row>
    <row r="3" spans="2:9" ht="18">
      <c r="D3" s="293" t="s">
        <v>381</v>
      </c>
      <c r="E3" s="293" t="s">
        <v>382</v>
      </c>
      <c r="F3" s="293" t="s">
        <v>383</v>
      </c>
      <c r="G3" s="2" t="s">
        <v>5</v>
      </c>
      <c r="I3" s="81" t="s">
        <v>0</v>
      </c>
    </row>
    <row r="4" spans="2:9">
      <c r="B4" s="2" t="s">
        <v>8</v>
      </c>
      <c r="C4" s="312" t="s">
        <v>398</v>
      </c>
      <c r="D4" s="313">
        <v>0.46</v>
      </c>
      <c r="E4" s="313">
        <v>0</v>
      </c>
      <c r="F4" s="313">
        <v>0</v>
      </c>
      <c r="G4" s="296">
        <v>34</v>
      </c>
      <c r="H4" s="2" t="s">
        <v>21</v>
      </c>
      <c r="I4" s="267" t="s">
        <v>425</v>
      </c>
    </row>
    <row r="5" spans="2:9">
      <c r="B5" s="2" t="s">
        <v>11</v>
      </c>
      <c r="C5" s="312" t="s">
        <v>397</v>
      </c>
      <c r="D5" s="313">
        <v>0.12</v>
      </c>
      <c r="E5" s="313">
        <v>0.52</v>
      </c>
      <c r="F5" s="313">
        <v>0</v>
      </c>
      <c r="G5" s="296">
        <v>51.5</v>
      </c>
      <c r="H5" s="2" t="s">
        <v>21</v>
      </c>
      <c r="I5" s="267" t="s">
        <v>425</v>
      </c>
    </row>
    <row r="6" spans="2:9">
      <c r="B6" s="2" t="s">
        <v>22</v>
      </c>
      <c r="C6" s="312" t="s">
        <v>399</v>
      </c>
      <c r="D6" s="313">
        <v>0.16</v>
      </c>
      <c r="E6" s="313">
        <v>0.16</v>
      </c>
      <c r="F6" s="313">
        <v>0.16</v>
      </c>
      <c r="G6" s="296">
        <v>40</v>
      </c>
      <c r="H6" s="2" t="s">
        <v>21</v>
      </c>
      <c r="I6" s="267" t="s">
        <v>425</v>
      </c>
    </row>
    <row r="7" spans="2:9">
      <c r="I7" s="267"/>
    </row>
    <row r="8" spans="2:9">
      <c r="C8" s="2" t="s">
        <v>405</v>
      </c>
      <c r="D8" s="314">
        <f>G4/D4</f>
        <v>73.91304347826086</v>
      </c>
      <c r="E8" s="314">
        <f>G5/E5-D5*D8</f>
        <v>90.168896321070235</v>
      </c>
      <c r="F8" s="314">
        <f>G6-D6*D8+E6*E8</f>
        <v>42.600936454849503</v>
      </c>
      <c r="I8" s="267"/>
    </row>
    <row r="9" spans="2:9" ht="23.25">
      <c r="C9" s="82" t="s">
        <v>400</v>
      </c>
      <c r="D9" s="295"/>
      <c r="E9" s="297">
        <f>G4*D5+E5*E8</f>
        <v>50.967826086956521</v>
      </c>
      <c r="F9" s="295"/>
      <c r="I9" s="267"/>
    </row>
    <row r="10" spans="2:9" ht="14.25" customHeight="1">
      <c r="C10" s="294"/>
      <c r="I10" s="267"/>
    </row>
    <row r="11" spans="2:9">
      <c r="B11" s="2" t="s">
        <v>8</v>
      </c>
      <c r="C11" s="24" t="s">
        <v>402</v>
      </c>
      <c r="D11" s="295"/>
      <c r="E11" s="295"/>
      <c r="F11" s="295"/>
      <c r="G11" s="277">
        <v>145</v>
      </c>
      <c r="H11" s="2" t="s">
        <v>401</v>
      </c>
      <c r="I11" s="267" t="s">
        <v>425</v>
      </c>
    </row>
    <row r="12" spans="2:9">
      <c r="I12" s="267"/>
    </row>
    <row r="13" spans="2:9">
      <c r="I13" s="267"/>
    </row>
    <row r="14" spans="2:9" ht="23.25">
      <c r="C14" s="82" t="s">
        <v>66</v>
      </c>
      <c r="I14" s="267"/>
    </row>
    <row r="15" spans="2:9">
      <c r="C15" s="2"/>
      <c r="D15" s="2" t="s">
        <v>3</v>
      </c>
      <c r="E15" s="2" t="s">
        <v>5</v>
      </c>
      <c r="F15" s="2" t="s">
        <v>75</v>
      </c>
      <c r="I15" s="267"/>
    </row>
    <row r="16" spans="2:9">
      <c r="B16" s="19" t="s">
        <v>8</v>
      </c>
      <c r="C16" s="24" t="s">
        <v>74</v>
      </c>
      <c r="D16" s="21">
        <v>7</v>
      </c>
      <c r="E16" s="21">
        <v>250</v>
      </c>
      <c r="F16" s="22">
        <f>D16*E16</f>
        <v>1750</v>
      </c>
      <c r="I16" s="267"/>
    </row>
    <row r="17" spans="2:9">
      <c r="B17" s="19" t="s">
        <v>11</v>
      </c>
      <c r="C17" s="24" t="s">
        <v>77</v>
      </c>
      <c r="D17" s="21">
        <v>1</v>
      </c>
      <c r="E17" s="21">
        <v>500</v>
      </c>
      <c r="F17" s="22">
        <f t="shared" ref="F17:F40" si="0">D17*E17</f>
        <v>500</v>
      </c>
      <c r="I17" s="267" t="s">
        <v>366</v>
      </c>
    </row>
    <row r="18" spans="2:9">
      <c r="B18" s="19" t="s">
        <v>22</v>
      </c>
      <c r="C18" s="24" t="s">
        <v>78</v>
      </c>
      <c r="D18" s="21">
        <v>2</v>
      </c>
      <c r="E18" s="21">
        <v>300</v>
      </c>
      <c r="F18" s="22">
        <f t="shared" si="0"/>
        <v>600</v>
      </c>
      <c r="I18" s="26" t="s">
        <v>367</v>
      </c>
    </row>
    <row r="19" spans="2:9">
      <c r="B19" s="19" t="s">
        <v>30</v>
      </c>
      <c r="C19" s="24" t="s">
        <v>81</v>
      </c>
      <c r="D19" s="21">
        <v>1</v>
      </c>
      <c r="E19" s="21">
        <v>10000</v>
      </c>
      <c r="F19" s="22">
        <f t="shared" si="0"/>
        <v>10000</v>
      </c>
      <c r="I19" s="27"/>
    </row>
    <row r="20" spans="2:9">
      <c r="B20" s="19" t="s">
        <v>35</v>
      </c>
      <c r="C20" s="24" t="s">
        <v>300</v>
      </c>
      <c r="D20" s="21">
        <v>1</v>
      </c>
      <c r="E20" s="21">
        <v>7000</v>
      </c>
      <c r="F20" s="22">
        <f t="shared" si="0"/>
        <v>7000</v>
      </c>
      <c r="I20" s="26"/>
    </row>
    <row r="21" spans="2:9">
      <c r="B21" s="19" t="s">
        <v>40</v>
      </c>
      <c r="C21" s="24"/>
      <c r="D21" s="21"/>
      <c r="E21" s="21"/>
      <c r="F21" s="22">
        <f t="shared" si="0"/>
        <v>0</v>
      </c>
      <c r="I21" s="26"/>
    </row>
    <row r="22" spans="2:9">
      <c r="B22" s="19" t="s">
        <v>60</v>
      </c>
      <c r="C22" s="24"/>
      <c r="D22" s="21"/>
      <c r="E22" s="21"/>
      <c r="F22" s="22">
        <f t="shared" si="0"/>
        <v>0</v>
      </c>
      <c r="I22" s="26"/>
    </row>
    <row r="23" spans="2:9">
      <c r="B23" s="19" t="s">
        <v>62</v>
      </c>
      <c r="C23" s="24"/>
      <c r="D23" s="21"/>
      <c r="E23" s="21"/>
      <c r="F23" s="22">
        <f t="shared" si="0"/>
        <v>0</v>
      </c>
      <c r="I23" s="26"/>
    </row>
    <row r="24" spans="2:9">
      <c r="B24" s="19" t="s">
        <v>67</v>
      </c>
      <c r="C24" s="24"/>
      <c r="D24" s="21"/>
      <c r="E24" s="21"/>
      <c r="F24" s="22">
        <f t="shared" si="0"/>
        <v>0</v>
      </c>
      <c r="I24" s="26"/>
    </row>
    <row r="25" spans="2:9">
      <c r="B25" s="19" t="s">
        <v>68</v>
      </c>
      <c r="C25" s="24"/>
      <c r="D25" s="21"/>
      <c r="E25" s="21"/>
      <c r="F25" s="22">
        <f t="shared" si="0"/>
        <v>0</v>
      </c>
      <c r="I25" s="26"/>
    </row>
    <row r="26" spans="2:9">
      <c r="B26" s="19" t="s">
        <v>69</v>
      </c>
      <c r="C26" s="24"/>
      <c r="D26" s="21"/>
      <c r="E26" s="21"/>
      <c r="F26" s="22">
        <f t="shared" si="0"/>
        <v>0</v>
      </c>
      <c r="I26" s="26"/>
    </row>
    <row r="27" spans="2:9">
      <c r="B27" s="19" t="s">
        <v>70</v>
      </c>
      <c r="C27" s="24"/>
      <c r="D27" s="21"/>
      <c r="E27" s="21"/>
      <c r="F27" s="22">
        <f t="shared" si="0"/>
        <v>0</v>
      </c>
      <c r="I27" s="26"/>
    </row>
    <row r="28" spans="2:9">
      <c r="B28" s="19" t="s">
        <v>71</v>
      </c>
      <c r="C28" s="24"/>
      <c r="D28" s="21"/>
      <c r="E28" s="21"/>
      <c r="F28" s="22">
        <f t="shared" si="0"/>
        <v>0</v>
      </c>
      <c r="I28" s="26"/>
    </row>
    <row r="29" spans="2:9">
      <c r="B29" s="19" t="s">
        <v>72</v>
      </c>
      <c r="C29" s="24"/>
      <c r="D29" s="21"/>
      <c r="E29" s="21"/>
      <c r="F29" s="22">
        <f t="shared" si="0"/>
        <v>0</v>
      </c>
      <c r="I29" s="26"/>
    </row>
    <row r="30" spans="2:9">
      <c r="B30" s="19" t="s">
        <v>73</v>
      </c>
      <c r="C30" s="24"/>
      <c r="D30" s="21"/>
      <c r="E30" s="21"/>
      <c r="F30" s="22">
        <f t="shared" si="0"/>
        <v>0</v>
      </c>
      <c r="I30" s="26"/>
    </row>
    <row r="31" spans="2:9">
      <c r="B31" s="19" t="s">
        <v>82</v>
      </c>
      <c r="C31" s="24"/>
      <c r="D31" s="21"/>
      <c r="E31" s="21"/>
      <c r="F31" s="22">
        <f t="shared" si="0"/>
        <v>0</v>
      </c>
      <c r="I31" s="26"/>
    </row>
    <row r="32" spans="2:9">
      <c r="B32" s="19" t="s">
        <v>83</v>
      </c>
      <c r="C32" s="24"/>
      <c r="D32" s="21"/>
      <c r="E32" s="21"/>
      <c r="F32" s="22">
        <f t="shared" si="0"/>
        <v>0</v>
      </c>
      <c r="I32" s="26"/>
    </row>
    <row r="33" spans="2:9">
      <c r="B33" s="19" t="s">
        <v>84</v>
      </c>
      <c r="C33" s="24"/>
      <c r="D33" s="21"/>
      <c r="E33" s="21"/>
      <c r="F33" s="22">
        <f t="shared" si="0"/>
        <v>0</v>
      </c>
      <c r="I33" s="26"/>
    </row>
    <row r="34" spans="2:9">
      <c r="B34" s="19" t="s">
        <v>85</v>
      </c>
      <c r="C34" s="24"/>
      <c r="D34" s="21"/>
      <c r="E34" s="21"/>
      <c r="F34" s="22">
        <f t="shared" si="0"/>
        <v>0</v>
      </c>
      <c r="I34" s="26"/>
    </row>
    <row r="35" spans="2:9">
      <c r="B35" s="19" t="s">
        <v>86</v>
      </c>
      <c r="C35" s="24"/>
      <c r="D35" s="21"/>
      <c r="E35" s="21"/>
      <c r="F35" s="22">
        <f t="shared" si="0"/>
        <v>0</v>
      </c>
      <c r="I35" s="26"/>
    </row>
    <row r="36" spans="2:9">
      <c r="B36" s="19" t="s">
        <v>128</v>
      </c>
      <c r="C36" s="24"/>
      <c r="D36" s="21"/>
      <c r="E36" s="21"/>
      <c r="F36" s="22">
        <f t="shared" si="0"/>
        <v>0</v>
      </c>
      <c r="I36" s="26"/>
    </row>
    <row r="37" spans="2:9">
      <c r="B37" s="19" t="s">
        <v>129</v>
      </c>
      <c r="C37" s="24"/>
      <c r="D37" s="21"/>
      <c r="E37" s="21"/>
      <c r="F37" s="22">
        <f t="shared" si="0"/>
        <v>0</v>
      </c>
      <c r="I37" s="26"/>
    </row>
    <row r="38" spans="2:9">
      <c r="B38" s="19" t="s">
        <v>130</v>
      </c>
      <c r="C38" s="24"/>
      <c r="D38" s="21"/>
      <c r="E38" s="21"/>
      <c r="F38" s="22">
        <f t="shared" si="0"/>
        <v>0</v>
      </c>
      <c r="I38" s="26"/>
    </row>
    <row r="39" spans="2:9">
      <c r="B39" s="19" t="s">
        <v>131</v>
      </c>
      <c r="C39" s="24"/>
      <c r="D39" s="21"/>
      <c r="E39" s="21"/>
      <c r="F39" s="22">
        <f t="shared" si="0"/>
        <v>0</v>
      </c>
      <c r="I39" s="26"/>
    </row>
    <row r="40" spans="2:9">
      <c r="B40" s="19" t="s">
        <v>132</v>
      </c>
      <c r="C40" s="24"/>
      <c r="D40" s="21"/>
      <c r="E40" s="21"/>
      <c r="F40" s="22">
        <f t="shared" si="0"/>
        <v>0</v>
      </c>
      <c r="I40" s="26"/>
    </row>
    <row r="41" spans="2:9">
      <c r="C41" s="20" t="s">
        <v>76</v>
      </c>
      <c r="D41" s="1"/>
      <c r="E41" s="1"/>
      <c r="F41" s="22">
        <f>SUM(F16:F40)</f>
        <v>19850</v>
      </c>
      <c r="I41" s="26"/>
    </row>
    <row r="42" spans="2:9">
      <c r="C42" s="20" t="s">
        <v>79</v>
      </c>
      <c r="F42" s="207">
        <v>300</v>
      </c>
      <c r="I42" s="26" t="s">
        <v>424</v>
      </c>
    </row>
    <row r="43" spans="2:9">
      <c r="C43" s="20" t="s">
        <v>80</v>
      </c>
      <c r="F43" s="23">
        <f>F41/F42</f>
        <v>66.166666666666671</v>
      </c>
      <c r="I43" s="26"/>
    </row>
  </sheetData>
  <sheetProtection password="B310" sheet="1" objects="1" scenarios="1"/>
  <protectedRanges>
    <protectedRange sqref="G4:G6" name="Range6"/>
    <protectedRange sqref="C11:G11" name="Range4"/>
    <protectedRange sqref="I16:I43" name="Range5"/>
    <protectedRange sqref="C16:E40" name="Range1"/>
    <protectedRange sqref="F42" name="Range2"/>
  </protectedRange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DC224"/>
  <sheetViews>
    <sheetView zoomScale="120" zoomScaleNormal="120" zoomScaleSheetLayoutView="100" workbookViewId="0">
      <selection activeCell="H9" sqref="H9"/>
    </sheetView>
  </sheetViews>
  <sheetFormatPr defaultRowHeight="14.25"/>
  <cols>
    <col min="1" max="1" width="2.7109375" style="3" customWidth="1"/>
    <col min="2" max="2" width="3.5703125" style="3" bestFit="1" customWidth="1"/>
    <col min="3" max="3" width="6.7109375" style="3" customWidth="1"/>
    <col min="4" max="4" width="23" style="3" customWidth="1"/>
    <col min="5" max="5" width="7.5703125" style="3" customWidth="1"/>
    <col min="6" max="6" width="12" style="3" customWidth="1"/>
    <col min="7" max="7" width="8.7109375" style="3" bestFit="1" customWidth="1"/>
    <col min="8" max="8" width="10.7109375" style="3" customWidth="1"/>
    <col min="9" max="9" width="8.7109375" style="3" bestFit="1" customWidth="1"/>
    <col min="10" max="10" width="17.42578125" style="3" customWidth="1"/>
    <col min="11" max="11" width="2.42578125" style="3" customWidth="1"/>
    <col min="12" max="12" width="10.85546875" style="2" customWidth="1"/>
    <col min="13" max="14" width="2.42578125" style="3" customWidth="1"/>
    <col min="15" max="15" width="20.7109375" style="3" customWidth="1"/>
    <col min="16" max="18" width="9.140625" style="3"/>
    <col min="19" max="19" width="20.42578125" style="3" customWidth="1"/>
    <col min="20" max="80" width="9.140625" style="3"/>
    <col min="81" max="81" width="19.140625" style="3" customWidth="1"/>
    <col min="82" max="89" width="9.140625" style="3"/>
    <col min="90" max="91" width="2.85546875" style="3" customWidth="1"/>
    <col min="92" max="92" width="18.7109375" style="3" customWidth="1"/>
    <col min="93" max="100" width="9.140625" style="3"/>
    <col min="101" max="102" width="2.7109375" style="3" customWidth="1"/>
    <col min="103" max="103" width="2.85546875" style="3" customWidth="1"/>
    <col min="104" max="104" width="13.140625" style="3" customWidth="1"/>
    <col min="105" max="16384" width="9.140625" style="3"/>
  </cols>
  <sheetData>
    <row r="1" spans="2:18" ht="23.25">
      <c r="C1" s="82" t="s">
        <v>48</v>
      </c>
      <c r="O1" s="331" t="s">
        <v>426</v>
      </c>
      <c r="P1" s="331"/>
      <c r="Q1" s="331"/>
      <c r="R1" s="331"/>
    </row>
    <row r="2" spans="2:18">
      <c r="O2" s="331" t="s">
        <v>428</v>
      </c>
      <c r="P2" s="331"/>
      <c r="Q2" s="331"/>
      <c r="R2" s="331"/>
    </row>
    <row r="3" spans="2:18" ht="15.75" thickBot="1">
      <c r="C3" s="89" t="s">
        <v>113</v>
      </c>
      <c r="D3" s="89"/>
      <c r="E3" s="89"/>
      <c r="F3" s="89"/>
      <c r="G3" s="89"/>
      <c r="H3" s="89"/>
      <c r="L3" s="81" t="s">
        <v>0</v>
      </c>
      <c r="O3" s="317"/>
      <c r="P3" s="316" t="s">
        <v>381</v>
      </c>
      <c r="Q3" s="316" t="s">
        <v>415</v>
      </c>
      <c r="R3" s="316" t="s">
        <v>416</v>
      </c>
    </row>
    <row r="4" spans="2:18" ht="15.75" thickBot="1">
      <c r="C4" s="90" t="s">
        <v>137</v>
      </c>
      <c r="D4" s="90"/>
      <c r="E4" s="90"/>
      <c r="F4" s="98">
        <v>2018</v>
      </c>
      <c r="L4" s="25"/>
      <c r="O4" s="318" t="s">
        <v>427</v>
      </c>
      <c r="P4" s="319">
        <f t="shared" ref="P4:R5" si="0">+CI218</f>
        <v>173.70000000000002</v>
      </c>
      <c r="Q4" s="319">
        <f t="shared" si="0"/>
        <v>84.600000000000009</v>
      </c>
      <c r="R4" s="319">
        <f t="shared" si="0"/>
        <v>61.199999999999996</v>
      </c>
    </row>
    <row r="5" spans="2:18" ht="15.75" thickBot="1">
      <c r="L5" s="26"/>
      <c r="O5" s="332" t="s">
        <v>429</v>
      </c>
      <c r="P5" s="333">
        <f t="shared" si="0"/>
        <v>3.2999999999999829</v>
      </c>
      <c r="Q5" s="333">
        <f t="shared" si="0"/>
        <v>17.399999999999991</v>
      </c>
      <c r="R5" s="333">
        <f t="shared" si="0"/>
        <v>-11.199999999999996</v>
      </c>
    </row>
    <row r="6" spans="2:18" ht="38.25">
      <c r="E6" s="150" t="s">
        <v>150</v>
      </c>
      <c r="F6" s="123" t="s">
        <v>3</v>
      </c>
      <c r="G6" s="125" t="s">
        <v>4</v>
      </c>
      <c r="H6" s="123" t="s">
        <v>5</v>
      </c>
      <c r="I6" s="125" t="s">
        <v>4</v>
      </c>
      <c r="J6" s="123" t="s">
        <v>63</v>
      </c>
      <c r="L6" s="26"/>
      <c r="O6" s="324" t="s">
        <v>454</v>
      </c>
      <c r="P6" s="323" t="str">
        <f t="shared" ref="P6:R7" si="1">IF($J$9&gt;100,CT218,"0")</f>
        <v>0</v>
      </c>
      <c r="Q6" s="323" t="str">
        <f t="shared" si="1"/>
        <v>0</v>
      </c>
      <c r="R6" s="323" t="str">
        <f t="shared" si="1"/>
        <v>0</v>
      </c>
    </row>
    <row r="7" spans="2:18" ht="15.75" thickBot="1">
      <c r="B7" s="32" t="s">
        <v>6</v>
      </c>
      <c r="C7" s="33" t="s">
        <v>7</v>
      </c>
      <c r="D7" s="34"/>
      <c r="E7" s="35"/>
      <c r="F7" s="4"/>
      <c r="G7" s="4"/>
      <c r="H7" s="4"/>
      <c r="I7" s="4"/>
      <c r="J7" s="4"/>
      <c r="L7" s="27"/>
      <c r="O7" s="332" t="s">
        <v>429</v>
      </c>
      <c r="P7" s="334" t="str">
        <f t="shared" si="1"/>
        <v>0</v>
      </c>
      <c r="Q7" s="335" t="str">
        <f t="shared" si="1"/>
        <v>0</v>
      </c>
      <c r="R7" s="335" t="str">
        <f t="shared" si="1"/>
        <v>0</v>
      </c>
    </row>
    <row r="8" spans="2:18" ht="15">
      <c r="B8" s="5" t="s">
        <v>8</v>
      </c>
      <c r="C8" s="36" t="s">
        <v>151</v>
      </c>
      <c r="E8" s="37">
        <v>1</v>
      </c>
      <c r="F8" s="83">
        <v>9000</v>
      </c>
      <c r="G8" s="6" t="s">
        <v>20</v>
      </c>
      <c r="H8" s="83">
        <v>17</v>
      </c>
      <c r="I8" s="6" t="s">
        <v>21</v>
      </c>
      <c r="J8" s="38">
        <f>E8*F8*H8</f>
        <v>153000</v>
      </c>
      <c r="L8" s="26"/>
    </row>
    <row r="9" spans="2:18" ht="15.75" thickBot="1">
      <c r="B9" s="5" t="s">
        <v>11</v>
      </c>
      <c r="C9" s="29" t="s">
        <v>49</v>
      </c>
      <c r="E9" s="39">
        <v>1</v>
      </c>
      <c r="F9" s="99">
        <v>11</v>
      </c>
      <c r="G9" s="3" t="s">
        <v>2</v>
      </c>
      <c r="H9" s="51"/>
      <c r="I9" s="3" t="s">
        <v>10</v>
      </c>
      <c r="J9" s="40">
        <f>E9*F9*H9</f>
        <v>0</v>
      </c>
      <c r="L9" s="26" t="s">
        <v>421</v>
      </c>
    </row>
    <row r="10" spans="2:18" ht="15.75" thickBot="1">
      <c r="B10" s="41"/>
      <c r="C10" s="42" t="s">
        <v>46</v>
      </c>
      <c r="D10" s="43"/>
      <c r="E10" s="43"/>
      <c r="F10" s="44"/>
      <c r="G10" s="45"/>
      <c r="H10" s="44"/>
      <c r="I10" s="45"/>
      <c r="J10" s="46">
        <f>SUM(J8:J9)</f>
        <v>153000</v>
      </c>
      <c r="L10" s="26"/>
    </row>
    <row r="11" spans="2:18" ht="15">
      <c r="B11" s="47" t="s">
        <v>13</v>
      </c>
      <c r="C11" s="29" t="s">
        <v>14</v>
      </c>
      <c r="E11" s="48"/>
      <c r="F11" s="8"/>
      <c r="H11" s="8"/>
      <c r="J11" s="49"/>
      <c r="L11" s="26"/>
    </row>
    <row r="12" spans="2:18">
      <c r="B12" s="5" t="s">
        <v>8</v>
      </c>
      <c r="C12" s="4" t="s">
        <v>15</v>
      </c>
      <c r="E12" s="65">
        <v>1</v>
      </c>
      <c r="F12" s="50">
        <v>2.4</v>
      </c>
      <c r="G12" s="4" t="s">
        <v>16</v>
      </c>
      <c r="H12" s="51">
        <v>3700</v>
      </c>
      <c r="I12" s="4" t="s">
        <v>17</v>
      </c>
      <c r="J12" s="49">
        <f t="shared" ref="J12:J45" si="2">E12*F12*H12</f>
        <v>8880</v>
      </c>
      <c r="L12" s="26" t="s">
        <v>64</v>
      </c>
    </row>
    <row r="13" spans="2:18">
      <c r="B13" s="10" t="s">
        <v>11</v>
      </c>
      <c r="C13" s="4" t="s">
        <v>106</v>
      </c>
      <c r="E13" s="65"/>
      <c r="F13" s="9"/>
      <c r="G13" s="4"/>
      <c r="H13" s="9"/>
      <c r="I13" s="4"/>
      <c r="J13" s="49"/>
      <c r="L13" s="26"/>
    </row>
    <row r="14" spans="2:18">
      <c r="D14" s="52" t="s">
        <v>19</v>
      </c>
      <c r="E14" s="305">
        <v>5</v>
      </c>
      <c r="F14" s="51">
        <v>20000</v>
      </c>
      <c r="G14" s="3" t="s">
        <v>96</v>
      </c>
      <c r="H14" s="66">
        <v>1.5</v>
      </c>
      <c r="I14" s="3" t="s">
        <v>21</v>
      </c>
      <c r="J14" s="49">
        <f>H14*F14*IF(E14=1,0.5, IF(E14=2,0.3,IF(E14=3,0.2,"0")))</f>
        <v>0</v>
      </c>
      <c r="L14" s="26" t="s">
        <v>420</v>
      </c>
    </row>
    <row r="15" spans="2:18">
      <c r="D15" s="52" t="s">
        <v>399</v>
      </c>
      <c r="E15" s="65">
        <v>1</v>
      </c>
      <c r="F15" s="51">
        <v>250</v>
      </c>
      <c r="G15" s="3" t="s">
        <v>96</v>
      </c>
      <c r="H15" s="66">
        <v>28</v>
      </c>
      <c r="I15" s="3" t="s">
        <v>21</v>
      </c>
      <c r="J15" s="49">
        <f t="shared" si="2"/>
        <v>7000</v>
      </c>
      <c r="L15" s="26"/>
    </row>
    <row r="16" spans="2:18">
      <c r="D16" s="52" t="s">
        <v>413</v>
      </c>
      <c r="E16" s="65">
        <v>1</v>
      </c>
      <c r="F16" s="51">
        <v>100</v>
      </c>
      <c r="G16" s="3" t="s">
        <v>96</v>
      </c>
      <c r="H16" s="66">
        <v>51.5</v>
      </c>
      <c r="I16" s="3" t="s">
        <v>21</v>
      </c>
      <c r="J16" s="49">
        <f t="shared" si="2"/>
        <v>5150</v>
      </c>
      <c r="L16" s="26"/>
    </row>
    <row r="17" spans="2:18">
      <c r="D17" s="52" t="s">
        <v>409</v>
      </c>
      <c r="E17" s="65">
        <v>1</v>
      </c>
      <c r="F17" s="51">
        <v>250</v>
      </c>
      <c r="G17" s="3" t="s">
        <v>96</v>
      </c>
      <c r="H17" s="66">
        <v>34</v>
      </c>
      <c r="I17" s="3" t="s">
        <v>21</v>
      </c>
      <c r="J17" s="49">
        <f t="shared" si="2"/>
        <v>8500</v>
      </c>
      <c r="L17" s="26"/>
    </row>
    <row r="18" spans="2:18">
      <c r="D18" s="52"/>
      <c r="E18" s="65">
        <v>1</v>
      </c>
      <c r="F18" s="51"/>
      <c r="G18" s="3" t="s">
        <v>96</v>
      </c>
      <c r="H18" s="66"/>
      <c r="I18" s="3" t="s">
        <v>21</v>
      </c>
      <c r="J18" s="49">
        <f t="shared" si="2"/>
        <v>0</v>
      </c>
      <c r="L18" s="26"/>
    </row>
    <row r="19" spans="2:18" ht="15">
      <c r="D19" s="52"/>
      <c r="E19" s="65">
        <v>1</v>
      </c>
      <c r="F19" s="51"/>
      <c r="G19" s="3" t="s">
        <v>96</v>
      </c>
      <c r="H19" s="66"/>
      <c r="I19" s="3" t="s">
        <v>21</v>
      </c>
      <c r="J19" s="49"/>
      <c r="L19" s="26"/>
      <c r="P19" s="307" t="s">
        <v>381</v>
      </c>
      <c r="Q19" s="307" t="s">
        <v>415</v>
      </c>
      <c r="R19" s="307" t="s">
        <v>416</v>
      </c>
    </row>
    <row r="20" spans="2:18">
      <c r="D20" s="320" t="s">
        <v>455</v>
      </c>
      <c r="E20" s="65">
        <v>1</v>
      </c>
      <c r="F20" s="51">
        <v>100</v>
      </c>
      <c r="G20" s="3" t="s">
        <v>96</v>
      </c>
      <c r="H20" s="66">
        <v>35</v>
      </c>
      <c r="I20" s="3" t="s">
        <v>21</v>
      </c>
      <c r="J20" s="49"/>
      <c r="L20" s="321" t="s">
        <v>430</v>
      </c>
      <c r="P20" s="308">
        <v>0.1</v>
      </c>
      <c r="Q20" s="308">
        <v>0.1</v>
      </c>
      <c r="R20" s="308">
        <v>0.1</v>
      </c>
    </row>
    <row r="21" spans="2:18">
      <c r="D21" s="320"/>
      <c r="E21" s="65">
        <v>1</v>
      </c>
      <c r="F21" s="51"/>
      <c r="G21" s="3" t="s">
        <v>96</v>
      </c>
      <c r="H21" s="66"/>
      <c r="I21" s="3" t="s">
        <v>21</v>
      </c>
      <c r="J21" s="49">
        <f t="shared" si="2"/>
        <v>0</v>
      </c>
      <c r="L21" s="321" t="s">
        <v>430</v>
      </c>
      <c r="P21" s="308">
        <v>0</v>
      </c>
      <c r="Q21" s="308">
        <v>0</v>
      </c>
      <c r="R21" s="308">
        <v>0</v>
      </c>
    </row>
    <row r="22" spans="2:18">
      <c r="B22" s="10" t="s">
        <v>22</v>
      </c>
      <c r="C22" s="17" t="s">
        <v>23</v>
      </c>
      <c r="E22" s="31"/>
      <c r="J22" s="49"/>
      <c r="L22" s="26"/>
    </row>
    <row r="23" spans="2:18">
      <c r="D23" s="52" t="s">
        <v>97</v>
      </c>
      <c r="E23" s="65">
        <v>1</v>
      </c>
      <c r="F23" s="66">
        <v>3</v>
      </c>
      <c r="G23" s="3" t="s">
        <v>93</v>
      </c>
      <c r="H23" s="51">
        <v>900</v>
      </c>
      <c r="I23" s="3" t="s">
        <v>34</v>
      </c>
      <c r="J23" s="49">
        <f t="shared" si="2"/>
        <v>2700</v>
      </c>
      <c r="L23" s="26"/>
    </row>
    <row r="24" spans="2:18">
      <c r="D24" s="52" t="s">
        <v>98</v>
      </c>
      <c r="E24" s="65">
        <v>1</v>
      </c>
      <c r="F24" s="66">
        <v>3</v>
      </c>
      <c r="G24" s="3" t="s">
        <v>93</v>
      </c>
      <c r="H24" s="51">
        <v>600</v>
      </c>
      <c r="I24" s="3" t="s">
        <v>34</v>
      </c>
      <c r="J24" s="49">
        <f t="shared" si="2"/>
        <v>1800</v>
      </c>
      <c r="L24" s="26"/>
    </row>
    <row r="25" spans="2:18">
      <c r="D25" s="52" t="s">
        <v>26</v>
      </c>
      <c r="E25" s="65">
        <v>1</v>
      </c>
      <c r="F25" s="66"/>
      <c r="H25" s="51"/>
      <c r="J25" s="49">
        <f t="shared" si="2"/>
        <v>0</v>
      </c>
      <c r="L25" s="26"/>
    </row>
    <row r="26" spans="2:18">
      <c r="D26" s="52" t="s">
        <v>27</v>
      </c>
      <c r="E26" s="65">
        <v>1</v>
      </c>
      <c r="F26" s="66"/>
      <c r="H26" s="51"/>
      <c r="J26" s="49">
        <f t="shared" si="2"/>
        <v>0</v>
      </c>
      <c r="L26" s="26"/>
    </row>
    <row r="27" spans="2:18">
      <c r="D27" s="52" t="s">
        <v>28</v>
      </c>
      <c r="E27" s="65">
        <v>1</v>
      </c>
      <c r="F27" s="66"/>
      <c r="H27" s="51"/>
      <c r="J27" s="49">
        <f t="shared" si="2"/>
        <v>0</v>
      </c>
      <c r="L27" s="26"/>
    </row>
    <row r="28" spans="2:18">
      <c r="D28" s="52" t="s">
        <v>29</v>
      </c>
      <c r="E28" s="65">
        <v>1</v>
      </c>
      <c r="F28" s="66"/>
      <c r="H28" s="51"/>
      <c r="J28" s="49">
        <f t="shared" si="2"/>
        <v>0</v>
      </c>
      <c r="L28" s="26"/>
    </row>
    <row r="29" spans="2:18">
      <c r="B29" s="10" t="s">
        <v>30</v>
      </c>
      <c r="C29" s="3" t="s">
        <v>52</v>
      </c>
      <c r="E29" s="31"/>
      <c r="H29" s="8"/>
      <c r="J29" s="49"/>
      <c r="L29" s="26"/>
    </row>
    <row r="30" spans="2:18">
      <c r="C30" s="11" t="s">
        <v>56</v>
      </c>
      <c r="D30" s="17" t="s">
        <v>56</v>
      </c>
      <c r="E30" s="39">
        <v>3</v>
      </c>
      <c r="F30" s="66">
        <v>15</v>
      </c>
      <c r="G30" s="3" t="s">
        <v>93</v>
      </c>
      <c r="H30" s="51">
        <v>145</v>
      </c>
      <c r="I30" s="3" t="s">
        <v>34</v>
      </c>
      <c r="J30" s="49">
        <f t="shared" si="2"/>
        <v>6525</v>
      </c>
      <c r="L30" s="26" t="s">
        <v>104</v>
      </c>
    </row>
    <row r="31" spans="2:18">
      <c r="B31" s="10" t="s">
        <v>35</v>
      </c>
      <c r="C31" s="3" t="s">
        <v>54</v>
      </c>
      <c r="E31" s="39"/>
      <c r="F31" s="66">
        <v>40</v>
      </c>
      <c r="G31" s="3" t="s">
        <v>93</v>
      </c>
      <c r="H31" s="51">
        <f>Inputi!G11</f>
        <v>145</v>
      </c>
      <c r="I31" s="3" t="s">
        <v>34</v>
      </c>
      <c r="J31" s="49">
        <f t="shared" si="2"/>
        <v>0</v>
      </c>
      <c r="L31" s="26"/>
    </row>
    <row r="32" spans="2:18">
      <c r="B32" s="10" t="s">
        <v>40</v>
      </c>
      <c r="C32" s="3" t="s">
        <v>55</v>
      </c>
      <c r="E32" s="31"/>
      <c r="F32" s="3">
        <v>1</v>
      </c>
      <c r="G32" s="3" t="s">
        <v>1</v>
      </c>
      <c r="H32" s="8">
        <f>Inputi!$F$43*F31</f>
        <v>2646.666666666667</v>
      </c>
      <c r="I32" s="3" t="s">
        <v>37</v>
      </c>
      <c r="J32" s="49">
        <f t="shared" si="2"/>
        <v>0</v>
      </c>
      <c r="L32" s="26"/>
    </row>
    <row r="33" spans="2:12">
      <c r="B33" s="10" t="s">
        <v>60</v>
      </c>
      <c r="C33" s="3" t="s">
        <v>58</v>
      </c>
      <c r="E33" s="31"/>
      <c r="H33" s="8"/>
      <c r="J33" s="49"/>
      <c r="L33" s="26"/>
    </row>
    <row r="34" spans="2:12">
      <c r="B34" s="10"/>
      <c r="C34" s="67"/>
      <c r="D34" s="68" t="s">
        <v>59</v>
      </c>
      <c r="E34" s="65">
        <v>1</v>
      </c>
      <c r="F34" s="66">
        <v>1</v>
      </c>
      <c r="G34" s="3" t="s">
        <v>1</v>
      </c>
      <c r="H34" s="51">
        <v>9000</v>
      </c>
      <c r="I34" s="3" t="s">
        <v>37</v>
      </c>
      <c r="J34" s="49">
        <f t="shared" si="2"/>
        <v>9000</v>
      </c>
      <c r="L34" s="26"/>
    </row>
    <row r="35" spans="2:12">
      <c r="B35" s="10"/>
      <c r="C35" s="67"/>
      <c r="D35" s="68" t="s">
        <v>65</v>
      </c>
      <c r="E35" s="65">
        <v>1</v>
      </c>
      <c r="F35" s="66"/>
      <c r="G35" s="3" t="s">
        <v>1</v>
      </c>
      <c r="H35" s="51"/>
      <c r="I35" s="3" t="s">
        <v>37</v>
      </c>
      <c r="J35" s="49">
        <f t="shared" si="2"/>
        <v>0</v>
      </c>
      <c r="L35" s="26"/>
    </row>
    <row r="36" spans="2:12">
      <c r="B36" s="10"/>
      <c r="C36" s="67"/>
      <c r="D36" s="68" t="s">
        <v>38</v>
      </c>
      <c r="E36" s="65">
        <v>1</v>
      </c>
      <c r="F36" s="66"/>
      <c r="G36" s="3" t="s">
        <v>1</v>
      </c>
      <c r="H36" s="51"/>
      <c r="I36" s="3" t="s">
        <v>37</v>
      </c>
      <c r="J36" s="49">
        <f t="shared" si="2"/>
        <v>0</v>
      </c>
      <c r="L36" s="26"/>
    </row>
    <row r="37" spans="2:12">
      <c r="B37" s="10"/>
      <c r="C37" s="67"/>
      <c r="D37" s="68" t="s">
        <v>61</v>
      </c>
      <c r="E37" s="65">
        <v>1</v>
      </c>
      <c r="F37" s="66">
        <v>1</v>
      </c>
      <c r="G37" s="3" t="s">
        <v>1</v>
      </c>
      <c r="H37" s="51">
        <v>11000</v>
      </c>
      <c r="I37" s="3" t="s">
        <v>37</v>
      </c>
      <c r="J37" s="49">
        <f t="shared" si="2"/>
        <v>11000</v>
      </c>
      <c r="L37" s="26"/>
    </row>
    <row r="38" spans="2:12">
      <c r="C38" s="67"/>
      <c r="D38" s="68"/>
      <c r="E38" s="65">
        <v>1</v>
      </c>
      <c r="F38" s="66"/>
      <c r="G38" s="3" t="s">
        <v>1</v>
      </c>
      <c r="H38" s="51"/>
      <c r="I38" s="3" t="s">
        <v>37</v>
      </c>
      <c r="J38" s="49">
        <f t="shared" si="2"/>
        <v>0</v>
      </c>
      <c r="L38" s="26"/>
    </row>
    <row r="39" spans="2:12">
      <c r="C39" s="69"/>
      <c r="D39" s="66"/>
      <c r="E39" s="65">
        <v>1</v>
      </c>
      <c r="F39" s="66"/>
      <c r="G39" s="3" t="s">
        <v>1</v>
      </c>
      <c r="H39" s="51"/>
      <c r="I39" s="3" t="s">
        <v>37</v>
      </c>
      <c r="J39" s="49">
        <f t="shared" si="2"/>
        <v>0</v>
      </c>
      <c r="L39" s="26"/>
    </row>
    <row r="40" spans="2:12">
      <c r="B40" s="10" t="s">
        <v>62</v>
      </c>
      <c r="C40" s="3" t="s">
        <v>57</v>
      </c>
      <c r="E40" s="65">
        <v>1</v>
      </c>
      <c r="F40" s="66">
        <v>30</v>
      </c>
      <c r="G40" s="3" t="s">
        <v>100</v>
      </c>
      <c r="H40" s="51">
        <v>150</v>
      </c>
      <c r="I40" s="3" t="s">
        <v>105</v>
      </c>
      <c r="J40" s="49">
        <f>E40*F40*H40</f>
        <v>4500</v>
      </c>
      <c r="L40" s="26" t="s">
        <v>111</v>
      </c>
    </row>
    <row r="41" spans="2:12">
      <c r="B41" s="10" t="s">
        <v>67</v>
      </c>
      <c r="C41" s="3" t="s">
        <v>271</v>
      </c>
      <c r="E41" s="31"/>
      <c r="F41" s="8"/>
      <c r="H41" s="8"/>
      <c r="J41" s="49"/>
      <c r="L41" s="26"/>
    </row>
    <row r="42" spans="2:12">
      <c r="D42" s="66" t="s">
        <v>94</v>
      </c>
      <c r="E42" s="39">
        <v>1</v>
      </c>
      <c r="F42" s="51">
        <v>8000</v>
      </c>
      <c r="G42" s="3" t="s">
        <v>96</v>
      </c>
      <c r="H42" s="127">
        <v>0.1</v>
      </c>
      <c r="I42" s="3" t="s">
        <v>21</v>
      </c>
      <c r="J42" s="49">
        <f t="shared" si="2"/>
        <v>800</v>
      </c>
      <c r="L42" s="26" t="s">
        <v>153</v>
      </c>
    </row>
    <row r="43" spans="2:12">
      <c r="D43" s="66" t="s">
        <v>99</v>
      </c>
      <c r="E43" s="65">
        <v>1</v>
      </c>
      <c r="F43" s="51">
        <v>8000</v>
      </c>
      <c r="G43" s="3" t="s">
        <v>96</v>
      </c>
      <c r="H43" s="127">
        <v>0.6</v>
      </c>
      <c r="I43" s="3" t="s">
        <v>21</v>
      </c>
      <c r="J43" s="49">
        <f t="shared" si="2"/>
        <v>4800</v>
      </c>
      <c r="L43" s="26"/>
    </row>
    <row r="44" spans="2:12">
      <c r="D44" s="66" t="s">
        <v>95</v>
      </c>
      <c r="E44" s="39">
        <v>1</v>
      </c>
      <c r="F44" s="51">
        <v>8000</v>
      </c>
      <c r="G44" s="3" t="s">
        <v>96</v>
      </c>
      <c r="H44" s="127">
        <v>0.3</v>
      </c>
      <c r="I44" s="3" t="s">
        <v>21</v>
      </c>
      <c r="J44" s="49">
        <f t="shared" si="2"/>
        <v>2400</v>
      </c>
      <c r="L44" s="26"/>
    </row>
    <row r="45" spans="2:12" ht="15" thickBot="1">
      <c r="B45" s="3" t="s">
        <v>68</v>
      </c>
      <c r="C45" s="67" t="s">
        <v>374</v>
      </c>
      <c r="D45" s="4"/>
      <c r="E45" s="65">
        <v>1</v>
      </c>
      <c r="F45" s="209">
        <v>1</v>
      </c>
      <c r="G45" s="4" t="s">
        <v>1</v>
      </c>
      <c r="H45" s="51">
        <v>2500</v>
      </c>
      <c r="I45" s="3" t="s">
        <v>37</v>
      </c>
      <c r="J45" s="49">
        <f t="shared" si="2"/>
        <v>2500</v>
      </c>
      <c r="L45" s="26"/>
    </row>
    <row r="46" spans="2:12" ht="15.75" thickBot="1">
      <c r="B46" s="41"/>
      <c r="C46" s="42" t="s">
        <v>101</v>
      </c>
      <c r="D46" s="43"/>
      <c r="E46" s="43"/>
      <c r="F46" s="44"/>
      <c r="G46" s="45"/>
      <c r="H46" s="44"/>
      <c r="I46" s="45"/>
      <c r="J46" s="46">
        <f>SUM(J12:J45)</f>
        <v>75555</v>
      </c>
      <c r="L46" s="26"/>
    </row>
    <row r="47" spans="2:12" ht="15.75" thickBot="1">
      <c r="B47" s="70" t="s">
        <v>103</v>
      </c>
      <c r="C47" s="71" t="s">
        <v>102</v>
      </c>
      <c r="D47" s="71"/>
      <c r="E47" s="72"/>
      <c r="F47" s="72"/>
      <c r="G47" s="72"/>
      <c r="H47" s="73"/>
      <c r="I47" s="72"/>
      <c r="J47" s="28">
        <f>J10-J46</f>
        <v>77445</v>
      </c>
      <c r="L47" s="26"/>
    </row>
    <row r="48" spans="2:12" ht="16.5" thickTop="1" thickBot="1">
      <c r="B48" s="70" t="s">
        <v>403</v>
      </c>
      <c r="C48" s="71" t="s">
        <v>418</v>
      </c>
      <c r="D48" s="71"/>
      <c r="E48" s="72"/>
      <c r="F48" s="72"/>
      <c r="G48" s="72"/>
      <c r="H48" s="73"/>
      <c r="I48" s="72"/>
      <c r="J48" s="28">
        <f>J10-J46+IF(J9&gt;100,CO224,IF(J9&lt;100,CD224,"0"))</f>
        <v>78536.808307692307</v>
      </c>
      <c r="L48" s="26"/>
    </row>
    <row r="49" spans="2:8" ht="15" thickTop="1"/>
    <row r="50" spans="2:8" ht="15.75" thickBot="1">
      <c r="C50" s="89" t="s">
        <v>251</v>
      </c>
      <c r="D50" s="90"/>
      <c r="E50" s="90"/>
      <c r="F50" s="90"/>
      <c r="G50" s="90"/>
      <c r="H50" s="90"/>
    </row>
    <row r="51" spans="2:8" ht="15" thickBot="1"/>
    <row r="52" spans="2:8" ht="15.75" thickTop="1">
      <c r="C52" s="74" t="s">
        <v>7</v>
      </c>
      <c r="D52" s="75"/>
      <c r="E52" s="75"/>
      <c r="F52" s="76" t="s">
        <v>107</v>
      </c>
    </row>
    <row r="53" spans="2:8">
      <c r="C53" s="53" t="s">
        <v>47</v>
      </c>
      <c r="F53" s="8">
        <f>J8</f>
        <v>153000</v>
      </c>
    </row>
    <row r="54" spans="2:8" ht="15" thickBot="1">
      <c r="C54" s="54" t="s">
        <v>49</v>
      </c>
      <c r="F54" s="8">
        <f>J9</f>
        <v>0</v>
      </c>
    </row>
    <row r="55" spans="2:8" ht="15.75" thickBot="1">
      <c r="B55" s="55"/>
      <c r="C55" s="42" t="s">
        <v>46</v>
      </c>
      <c r="D55" s="43"/>
      <c r="E55" s="43"/>
      <c r="F55" s="56">
        <f>J10</f>
        <v>153000</v>
      </c>
    </row>
    <row r="56" spans="2:8" ht="15">
      <c r="B56" s="55"/>
      <c r="C56" s="29" t="s">
        <v>14</v>
      </c>
      <c r="F56" s="8"/>
    </row>
    <row r="57" spans="2:8">
      <c r="C57" s="54" t="s">
        <v>15</v>
      </c>
      <c r="F57" s="8">
        <f>J12</f>
        <v>8880</v>
      </c>
    </row>
    <row r="58" spans="2:8">
      <c r="C58" s="54" t="s">
        <v>106</v>
      </c>
      <c r="F58" s="8">
        <f>SUM(J14:J21)</f>
        <v>20650</v>
      </c>
    </row>
    <row r="59" spans="2:8">
      <c r="C59" s="54" t="s">
        <v>23</v>
      </c>
      <c r="F59" s="8">
        <f>SUM(J23:J28)</f>
        <v>4500</v>
      </c>
    </row>
    <row r="60" spans="2:8">
      <c r="C60" s="54" t="s">
        <v>52</v>
      </c>
      <c r="F60" s="8">
        <f>J30</f>
        <v>6525</v>
      </c>
    </row>
    <row r="61" spans="2:8">
      <c r="C61" s="54" t="s">
        <v>54</v>
      </c>
      <c r="F61" s="8">
        <f>J31</f>
        <v>0</v>
      </c>
    </row>
    <row r="62" spans="2:8">
      <c r="C62" s="54" t="s">
        <v>55</v>
      </c>
      <c r="F62" s="8">
        <f>J32</f>
        <v>0</v>
      </c>
    </row>
    <row r="63" spans="2:8">
      <c r="C63" s="54" t="s">
        <v>58</v>
      </c>
      <c r="F63" s="8">
        <f>SUM(J34:J39)</f>
        <v>20000</v>
      </c>
    </row>
    <row r="64" spans="2:8">
      <c r="C64" s="54" t="s">
        <v>53</v>
      </c>
      <c r="F64" s="8">
        <f>J40</f>
        <v>4500</v>
      </c>
    </row>
    <row r="65" spans="3:6">
      <c r="C65" s="54" t="s">
        <v>271</v>
      </c>
      <c r="F65" s="8">
        <f>SUM(J42:J44)</f>
        <v>8000</v>
      </c>
    </row>
    <row r="66" spans="3:6" ht="15" thickBot="1">
      <c r="C66" s="199" t="s">
        <v>374</v>
      </c>
      <c r="F66" s="8">
        <f>J45</f>
        <v>2500</v>
      </c>
    </row>
    <row r="67" spans="3:6" ht="15.75" thickBot="1">
      <c r="C67" s="42" t="s">
        <v>101</v>
      </c>
      <c r="D67" s="43"/>
      <c r="E67" s="43"/>
      <c r="F67" s="56">
        <f>SUM(F57:F66)</f>
        <v>75555</v>
      </c>
    </row>
    <row r="68" spans="3:6" ht="15.75" thickBot="1">
      <c r="C68" s="71" t="s">
        <v>42</v>
      </c>
      <c r="D68" s="72"/>
      <c r="E68" s="72"/>
      <c r="F68" s="77">
        <f>F55-F67</f>
        <v>77445</v>
      </c>
    </row>
    <row r="69" spans="3:6" ht="15.75" thickTop="1">
      <c r="C69" s="96"/>
      <c r="D69" s="97"/>
      <c r="E69" s="97"/>
      <c r="F69" s="63"/>
    </row>
    <row r="94" spans="4:10" ht="15.75" thickBot="1">
      <c r="D94" s="89" t="s">
        <v>108</v>
      </c>
      <c r="E94" s="90"/>
      <c r="F94" s="90"/>
      <c r="G94" s="90"/>
      <c r="H94" s="90"/>
      <c r="I94" s="90"/>
      <c r="J94" s="90"/>
    </row>
    <row r="96" spans="4:10" ht="15.75" thickBot="1">
      <c r="D96" s="12"/>
      <c r="E96" s="13"/>
      <c r="F96" s="14"/>
      <c r="G96" s="57"/>
      <c r="H96" s="57" t="s">
        <v>160</v>
      </c>
      <c r="I96" s="57"/>
      <c r="J96" s="79"/>
    </row>
    <row r="97" spans="4:10">
      <c r="D97" s="15"/>
      <c r="E97" s="16"/>
      <c r="F97" s="154">
        <v>-0.2</v>
      </c>
      <c r="G97" s="154">
        <v>-0.1</v>
      </c>
      <c r="H97" s="59" t="s">
        <v>110</v>
      </c>
      <c r="I97" s="154">
        <v>0.1</v>
      </c>
      <c r="J97" s="155">
        <v>0.2</v>
      </c>
    </row>
    <row r="98" spans="4:10" ht="15.75" thickBot="1">
      <c r="D98" s="60" t="s">
        <v>109</v>
      </c>
      <c r="E98" s="61"/>
      <c r="F98" s="92">
        <f>H98*(1+F97)</f>
        <v>13.600000000000001</v>
      </c>
      <c r="G98" s="92">
        <f>H98*(1+G97)</f>
        <v>15.3</v>
      </c>
      <c r="H98" s="92">
        <f>H8</f>
        <v>17</v>
      </c>
      <c r="I98" s="93">
        <f>$H$98*(1+I97)</f>
        <v>18.700000000000003</v>
      </c>
      <c r="J98" s="94">
        <f>$H$98*(1+J97)</f>
        <v>20.399999999999999</v>
      </c>
    </row>
    <row r="99" spans="4:10" ht="15">
      <c r="D99" s="152">
        <v>-0.2</v>
      </c>
      <c r="E99" s="62">
        <f>$E$101*(1+D99)</f>
        <v>7200</v>
      </c>
      <c r="F99" s="88">
        <f>$H$99-$E$99*($H$98-F98)</f>
        <v>23456.808307692318</v>
      </c>
      <c r="G99" s="88">
        <f>$H$99-$E$99*($H$98-G98)</f>
        <v>35696.808307692314</v>
      </c>
      <c r="H99" s="88">
        <f>$H$101-($E$101-E99)*$H$98</f>
        <v>47936.808307692307</v>
      </c>
      <c r="I99" s="84">
        <f>$H$99+$E$99*(I98-$H$98)</f>
        <v>60176.808307692329</v>
      </c>
      <c r="J99" s="85">
        <f>$H$99+$E$99*(J98-$H$98)</f>
        <v>72416.808307692292</v>
      </c>
    </row>
    <row r="100" spans="4:10" ht="15">
      <c r="D100" s="152">
        <v>-0.1</v>
      </c>
      <c r="E100" s="62">
        <f>$E$101*(1+D100)</f>
        <v>8100</v>
      </c>
      <c r="F100" s="88">
        <f>$H$100-$E$100*($H$98-F98)</f>
        <v>35696.808307692321</v>
      </c>
      <c r="G100" s="88">
        <f>$H$100-$E$100*($H$98-G98)</f>
        <v>49466.808307692314</v>
      </c>
      <c r="H100" s="88">
        <f>$H$101-($E$101-E100)*$H$98</f>
        <v>63236.808307692307</v>
      </c>
      <c r="I100" s="88">
        <f>$H$100+$E$100*(I98-$H$98)</f>
        <v>77006.808307692336</v>
      </c>
      <c r="J100" s="91">
        <f>$H$100+$E$100*(J98-$H$98)</f>
        <v>90776.808307692292</v>
      </c>
    </row>
    <row r="101" spans="4:10" ht="15">
      <c r="D101" s="18" t="s">
        <v>43</v>
      </c>
      <c r="E101" s="62">
        <f>F8</f>
        <v>9000</v>
      </c>
      <c r="F101" s="88">
        <f>$H$101-$E$101*($H$98-F98)</f>
        <v>47936.808307692321</v>
      </c>
      <c r="G101" s="88">
        <f>$H$101-$E$101*($H$98-G98)</f>
        <v>63236.808307692314</v>
      </c>
      <c r="H101" s="63">
        <f>J48</f>
        <v>78536.808307692307</v>
      </c>
      <c r="I101" s="84">
        <f>$H$101+$E$101*(I98-$H$98)</f>
        <v>93836.808307692336</v>
      </c>
      <c r="J101" s="85">
        <f>$H$101+$E$101*(J98-$H$98)</f>
        <v>109136.80830769229</v>
      </c>
    </row>
    <row r="102" spans="4:10" ht="15">
      <c r="D102" s="152">
        <v>0.1</v>
      </c>
      <c r="E102" s="78">
        <f>$E$101*(1+D102)</f>
        <v>9900</v>
      </c>
      <c r="F102" s="84">
        <f>$H$102-$E$102*($H$98-F98)</f>
        <v>60176.808307692321</v>
      </c>
      <c r="G102" s="84">
        <f>$H$102-$E$102*($H$98-G98)</f>
        <v>77006.808307692321</v>
      </c>
      <c r="H102" s="88">
        <f>$H$101-($E$101-E102)*$H$98</f>
        <v>93836.808307692307</v>
      </c>
      <c r="I102" s="84">
        <f>$H$102+$E$102*(I98-$H$98)</f>
        <v>110666.80830769234</v>
      </c>
      <c r="J102" s="85">
        <f>$H$102+$E$102*(J98-$H$98)</f>
        <v>127496.80830769229</v>
      </c>
    </row>
    <row r="103" spans="4:10" ht="15">
      <c r="D103" s="153">
        <v>0.2</v>
      </c>
      <c r="E103" s="80">
        <f>$E$101*(1+D103)</f>
        <v>10800</v>
      </c>
      <c r="F103" s="86">
        <f>$H$103-$E$103*($H$98-F98)</f>
        <v>72416.808307692321</v>
      </c>
      <c r="G103" s="86">
        <f>$H$103-$E$103*($H$98-G98)</f>
        <v>90776.808307692321</v>
      </c>
      <c r="H103" s="95">
        <f>$H$101-($E$101-E103)*$H$98</f>
        <v>109136.80830769231</v>
      </c>
      <c r="I103" s="86">
        <f>$H$103+$E$103*(I98-$H$98)</f>
        <v>127496.80830769234</v>
      </c>
      <c r="J103" s="87">
        <f>$H$103+$E$103*(J98-$H$98)</f>
        <v>145856.80830769229</v>
      </c>
    </row>
    <row r="203" spans="81:107" ht="15.75">
      <c r="CC203" s="269" t="s">
        <v>375</v>
      </c>
      <c r="CD203" s="270"/>
      <c r="CE203" s="270"/>
      <c r="CF203" s="270"/>
      <c r="CG203" s="270"/>
      <c r="CH203" s="270"/>
      <c r="CI203" s="270"/>
      <c r="CJ203" s="270"/>
      <c r="CK203" s="270"/>
      <c r="CL203"/>
      <c r="CM203"/>
      <c r="CN203" s="271" t="s">
        <v>414</v>
      </c>
      <c r="CO203" s="272"/>
      <c r="CP203" s="272"/>
      <c r="CQ203" s="272"/>
      <c r="CR203" s="272"/>
      <c r="CS203" s="272"/>
      <c r="CT203" s="272"/>
      <c r="CU203" s="272"/>
      <c r="CV203" s="272"/>
      <c r="CZ203" s="298" t="s">
        <v>408</v>
      </c>
      <c r="DA203" s="300">
        <v>0.15</v>
      </c>
      <c r="DB203" s="300">
        <v>0.15</v>
      </c>
      <c r="DC203" s="300">
        <v>0.15</v>
      </c>
    </row>
    <row r="204" spans="81:107" ht="15.75">
      <c r="CC204" s="273" t="s">
        <v>376</v>
      </c>
      <c r="CD204" s="273" t="s">
        <v>377</v>
      </c>
      <c r="CE204" s="273" t="s">
        <v>378</v>
      </c>
      <c r="CF204" s="274" t="s">
        <v>379</v>
      </c>
      <c r="CG204" s="274"/>
      <c r="CH204" s="274"/>
      <c r="CI204" s="274" t="s">
        <v>380</v>
      </c>
      <c r="CJ204" s="274"/>
      <c r="CK204" s="275"/>
      <c r="CL204"/>
      <c r="CM204"/>
      <c r="CN204" s="273" t="s">
        <v>376</v>
      </c>
      <c r="CO204" s="273" t="s">
        <v>377</v>
      </c>
      <c r="CP204" s="273" t="s">
        <v>378</v>
      </c>
      <c r="CQ204" s="274" t="s">
        <v>379</v>
      </c>
      <c r="CR204" s="274"/>
      <c r="CS204" s="274"/>
      <c r="CT204" s="274" t="s">
        <v>380</v>
      </c>
      <c r="CU204" s="274"/>
      <c r="CV204" s="275"/>
      <c r="CZ204" s="298" t="s">
        <v>399</v>
      </c>
      <c r="DA204" s="300">
        <v>0.16</v>
      </c>
      <c r="DB204" s="300">
        <v>0.16</v>
      </c>
      <c r="DC204" s="300">
        <v>0.16</v>
      </c>
    </row>
    <row r="205" spans="81:107" ht="18">
      <c r="CC205"/>
      <c r="CD205"/>
      <c r="CE205"/>
      <c r="CF205" s="276" t="s">
        <v>381</v>
      </c>
      <c r="CG205" s="276" t="s">
        <v>382</v>
      </c>
      <c r="CH205" s="276" t="s">
        <v>383</v>
      </c>
      <c r="CI205" s="276" t="s">
        <v>381</v>
      </c>
      <c r="CJ205" s="276" t="s">
        <v>382</v>
      </c>
      <c r="CK205" s="276" t="s">
        <v>383</v>
      </c>
      <c r="CL205"/>
      <c r="CM205"/>
      <c r="CN205"/>
      <c r="CO205"/>
      <c r="CP205"/>
      <c r="CQ205" s="276" t="s">
        <v>381</v>
      </c>
      <c r="CR205" s="276" t="s">
        <v>382</v>
      </c>
      <c r="CS205" s="276" t="s">
        <v>383</v>
      </c>
      <c r="CT205" s="276" t="s">
        <v>381</v>
      </c>
      <c r="CU205" s="276" t="s">
        <v>382</v>
      </c>
      <c r="CV205" s="276" t="s">
        <v>383</v>
      </c>
      <c r="CZ205" s="298" t="s">
        <v>407</v>
      </c>
      <c r="DA205" s="300">
        <v>0.06</v>
      </c>
      <c r="DB205" s="300">
        <v>0.12</v>
      </c>
      <c r="DC205" s="300">
        <v>0.24</v>
      </c>
    </row>
    <row r="206" spans="81:107">
      <c r="CC206" t="str">
        <f>+D15</f>
        <v>NPK 16:16:16</v>
      </c>
      <c r="CD206" s="21">
        <f>+F15</f>
        <v>250</v>
      </c>
      <c r="CE206" t="s">
        <v>20</v>
      </c>
      <c r="CF206" s="304">
        <f>IF($CC206=$CZ$203,$DA$203,IF($CC206=$CZ$204,$DA$204,IF($CC206=$CZ$205,$DA$205,IF($CC206=$CZ$206,$DA$206, IF($CC206=$CZ$207,$DA$207,IF($CC206=$CZ$208,$DA$208,IF($CC206=$CZ$209,$DA$209,IF($CC206=$CZ$210,$DA$210,"0%"))))))))</f>
        <v>0.16</v>
      </c>
      <c r="CG206" s="304">
        <f>IF($CC206=$CZ$203,$DB$203,IF($CC206=$CZ$204,$DB$204,IF($CC206=$CZ$205,$DB$205,IF($CC206=$CZ$206,$DB$206, IF($CC206=$CZ$207,$DB$207,IF($CC206=$CZ$208,$DB$208,IF($CC206=$CZ$209,$DB$209,IF($CC206=$CZ$210,$DB$210,"0%"))))))))</f>
        <v>0.16</v>
      </c>
      <c r="CH206" s="304">
        <f>IF($CC206=$CZ$203,$DC$203,IF($CC206=$CZ$204,$DC$204,IF($CC206=$CZ$205,$DC$205,IF($CC206=$CZ$206,$DC$206, IF($CC206=$CZ$207,$DC$207,IF($CC206=$CZ$208,$DC$208,IF($CC206=$CZ$209,$DC$209,IF($CC206=$CZ$210,$DC$210,"0%"))))))))</f>
        <v>0.16</v>
      </c>
      <c r="CI206">
        <f>$CD206*CF206</f>
        <v>40</v>
      </c>
      <c r="CJ206">
        <f t="shared" ref="CJ206:CK212" si="3">$CD206*CG206</f>
        <v>40</v>
      </c>
      <c r="CK206">
        <f t="shared" si="3"/>
        <v>40</v>
      </c>
      <c r="CL206"/>
      <c r="CM206"/>
      <c r="CN206" s="1" t="str">
        <f>D15</f>
        <v>NPK 16:16:16</v>
      </c>
      <c r="CO206" s="21">
        <f>+F15</f>
        <v>250</v>
      </c>
      <c r="CP206" t="s">
        <v>20</v>
      </c>
      <c r="CQ206" s="304">
        <f>IF($CC206=$CZ$203,$DA$203,IF($CC206=$CZ$204,$DA$204,IF($CC206=$CZ$205,$DA$205,IF($CC206=$CZ$206,$DA$206, IF($CC206=$CZ$207,$DA$207,IF($CC206=$CZ$208,$DA$208,IF($CC206=$CZ$209,$DA$209,IF($CC206=$CZ$210,$DA$210,"0%"))))))))</f>
        <v>0.16</v>
      </c>
      <c r="CR206" s="304">
        <f>IF($CC206=$CZ$203,$DB$203,IF($CC206=$CZ$204,$DB$204,IF($CC206=$CZ$205,$DB$205,IF($CC206=$CZ$206,$DB$206, IF($CC206=$CZ$207,$DB$207,IF($CC206=$CZ$208,$DB$208,IF($CC206=$CZ$209,$DB$209,IF($CC206=$CZ$210,$DB$210,"0%"))))))))</f>
        <v>0.16</v>
      </c>
      <c r="CS206" s="304">
        <f>IF($CC206=$CZ$203,$DC$203,IF($CC206=$CZ$204,$DC$204,IF($CC206=$CZ$205,$DC$205,IF($CC206=$CZ$206,$DC$206, IF($CC206=$CZ$207,$DC$207,IF($CC206=$CZ$208,$DC$208,IF($CC206=$CZ$209,$DC$209,IF($CC206=$CZ$210,$DC$210,"0%"))))))))</f>
        <v>0.16</v>
      </c>
      <c r="CT206">
        <f>CO206*CQ206</f>
        <v>40</v>
      </c>
      <c r="CU206">
        <f>CO206*CR206</f>
        <v>40</v>
      </c>
      <c r="CV206">
        <f>CO206*CS206</f>
        <v>40</v>
      </c>
      <c r="CZ206" s="299" t="s">
        <v>412</v>
      </c>
      <c r="DA206" s="301">
        <v>0.11</v>
      </c>
      <c r="DB206" s="301">
        <v>0.52</v>
      </c>
      <c r="DC206" s="301">
        <v>0</v>
      </c>
    </row>
    <row r="207" spans="81:107">
      <c r="CC207" t="str">
        <f t="shared" ref="CC207:CC212" si="4">+D16</f>
        <v>MAP 12:52:0</v>
      </c>
      <c r="CD207" s="21">
        <f t="shared" ref="CD207:CD212" si="5">+F16</f>
        <v>100</v>
      </c>
      <c r="CE207" t="s">
        <v>20</v>
      </c>
      <c r="CF207" s="304">
        <f t="shared" ref="CF207:CF210" si="6">IF($CC207=$CZ$203,$DA$203,IF($CC207=$CZ$204,$DA$204,IF($CC207=$CZ$205,$DA$205,IF($CC207=CZ$206,$DA$206, IF($CC207=CZ$207,$DA$207,IF($CC207=$CZ$208,$DA$208,IF($CC207=$CZ$209,$DA$209,IF($CC207=$CZ$210,$DA$210,"0%"))))))))</f>
        <v>0.12</v>
      </c>
      <c r="CG207" s="304">
        <f t="shared" ref="CG207:CG210" si="7">IF($CC207=$CZ$203,$DB$203,IF($CC207=$CZ$204,$DB$204,IF($CC207=$CZ$205,$DB$205,IF($CC207=$CZ$206,$DB$206, IF($CC207=$CZ$207,$DB$207,IF($CC207=$CZ$208,$DB$208,IF($CC207=$CZ$209,$DB$209,IF($CC207=$CZ$210,$DB$210,"0%"))))))))</f>
        <v>0.52</v>
      </c>
      <c r="CH207" s="304">
        <f t="shared" ref="CH207:CH210" si="8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12</v>
      </c>
      <c r="CJ207">
        <f t="shared" si="3"/>
        <v>52</v>
      </c>
      <c r="CK207">
        <f t="shared" si="3"/>
        <v>0</v>
      </c>
      <c r="CL207"/>
      <c r="CM207"/>
      <c r="CN207" s="1" t="str">
        <f t="shared" ref="CN207:CN212" si="9">D16</f>
        <v>MAP 12:52:0</v>
      </c>
      <c r="CO207" s="21">
        <f t="shared" ref="CO207:CO212" si="10">+F16</f>
        <v>100</v>
      </c>
      <c r="CP207" t="s">
        <v>20</v>
      </c>
      <c r="CQ207" s="304">
        <f t="shared" ref="CQ207:CQ210" si="11">IF($CC207=$CZ$203,$DA$203,IF($CC207=$CZ$204,$DA$204,IF($CC207=$CZ$205,$DA$205,IF($CC207=$CZ$206,$DA$206, IF($CC207=$CZ$207,$DA$207,IF($CC207=$CZ$208,$DA$208,IF($CC207=$CZ$209,$DA$209,IF($CC207=$CZ$210,$DA$210,"0%"))))))))</f>
        <v>0.12</v>
      </c>
      <c r="CR207" s="304">
        <f t="shared" ref="CR207:CR210" si="12">IF($CC207=$CZ$203,$DB$203,IF($CC207=$CZ$204,$DB$204,IF($CC207=$CZ$205,$DB$205,IF($CC207=$CZ$206,$DB$206, IF($CC207=$CZ$207,$DB$207,IF($CC207=$CZ$208,$DB$208,IF($CC207=$CZ$209,$DB$209,IF($CC207=$CZ$210,$DB$210,"0%"))))))))</f>
        <v>0.52</v>
      </c>
      <c r="CS207" s="304">
        <f t="shared" ref="CS207:CS210" si="13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4">CO207*CQ207</f>
        <v>12</v>
      </c>
      <c r="CU207">
        <f t="shared" ref="CU207:CU212" si="15">CO207*CR207</f>
        <v>52</v>
      </c>
      <c r="CV207">
        <f t="shared" ref="CV207:CV212" si="16">CO207*CS207</f>
        <v>0</v>
      </c>
      <c r="CZ207" s="299" t="s">
        <v>413</v>
      </c>
      <c r="DA207" s="301">
        <v>0.12</v>
      </c>
      <c r="DB207" s="301">
        <v>0.52</v>
      </c>
      <c r="DC207" s="301">
        <v>0</v>
      </c>
    </row>
    <row r="208" spans="81:107">
      <c r="CC208" t="str">
        <f t="shared" si="4"/>
        <v>UREA 46:0:0</v>
      </c>
      <c r="CD208" s="21">
        <f t="shared" si="5"/>
        <v>250</v>
      </c>
      <c r="CE208" t="s">
        <v>20</v>
      </c>
      <c r="CF208" s="304">
        <f t="shared" si="6"/>
        <v>0.46</v>
      </c>
      <c r="CG208" s="304">
        <f t="shared" si="7"/>
        <v>0</v>
      </c>
      <c r="CH208" s="304">
        <f t="shared" si="8"/>
        <v>0</v>
      </c>
      <c r="CI208">
        <f t="shared" ref="CI208:CI212" si="17">$CD208*CF208</f>
        <v>115</v>
      </c>
      <c r="CJ208">
        <f t="shared" si="3"/>
        <v>0</v>
      </c>
      <c r="CK208">
        <f t="shared" si="3"/>
        <v>0</v>
      </c>
      <c r="CL208"/>
      <c r="CM208"/>
      <c r="CN208" s="1" t="str">
        <f t="shared" si="9"/>
        <v>UREA 46:0:0</v>
      </c>
      <c r="CO208" s="21">
        <f t="shared" si="10"/>
        <v>250</v>
      </c>
      <c r="CP208" t="s">
        <v>20</v>
      </c>
      <c r="CQ208" s="304">
        <f t="shared" si="11"/>
        <v>0.46</v>
      </c>
      <c r="CR208" s="304">
        <f t="shared" si="12"/>
        <v>0</v>
      </c>
      <c r="CS208" s="304">
        <f t="shared" si="13"/>
        <v>0</v>
      </c>
      <c r="CT208">
        <f t="shared" si="14"/>
        <v>115</v>
      </c>
      <c r="CU208">
        <f t="shared" si="15"/>
        <v>0</v>
      </c>
      <c r="CV208">
        <f t="shared" si="16"/>
        <v>0</v>
      </c>
      <c r="CZ208" s="298" t="s">
        <v>409</v>
      </c>
      <c r="DA208" s="301">
        <v>0.46</v>
      </c>
      <c r="DB208" s="301">
        <v>0</v>
      </c>
      <c r="DC208" s="301">
        <v>0</v>
      </c>
    </row>
    <row r="209" spans="81:107">
      <c r="CC209">
        <f t="shared" si="4"/>
        <v>0</v>
      </c>
      <c r="CD209" s="21">
        <f t="shared" si="5"/>
        <v>0</v>
      </c>
      <c r="CE209" t="s">
        <v>20</v>
      </c>
      <c r="CF209" s="304" t="str">
        <f t="shared" si="6"/>
        <v>0%</v>
      </c>
      <c r="CG209" s="304" t="str">
        <f t="shared" si="7"/>
        <v>0%</v>
      </c>
      <c r="CH209" s="304" t="str">
        <f t="shared" si="8"/>
        <v>0%</v>
      </c>
      <c r="CI209">
        <f t="shared" si="17"/>
        <v>0</v>
      </c>
      <c r="CJ209">
        <f t="shared" si="3"/>
        <v>0</v>
      </c>
      <c r="CK209">
        <f t="shared" si="3"/>
        <v>0</v>
      </c>
      <c r="CL209"/>
      <c r="CM209"/>
      <c r="CN209" s="1">
        <f t="shared" si="9"/>
        <v>0</v>
      </c>
      <c r="CO209" s="21">
        <f t="shared" si="10"/>
        <v>0</v>
      </c>
      <c r="CP209" t="s">
        <v>20</v>
      </c>
      <c r="CQ209" s="304" t="str">
        <f t="shared" si="11"/>
        <v>0%</v>
      </c>
      <c r="CR209" s="304" t="str">
        <f t="shared" si="12"/>
        <v>0%</v>
      </c>
      <c r="CS209" s="304" t="str">
        <f t="shared" si="13"/>
        <v>0%</v>
      </c>
      <c r="CT209">
        <f t="shared" si="14"/>
        <v>0</v>
      </c>
      <c r="CU209">
        <f t="shared" si="15"/>
        <v>0</v>
      </c>
      <c r="CV209">
        <f t="shared" si="16"/>
        <v>0</v>
      </c>
      <c r="CZ209" s="298" t="s">
        <v>410</v>
      </c>
      <c r="DA209" s="301">
        <v>0.27</v>
      </c>
      <c r="DB209" s="301">
        <v>0</v>
      </c>
      <c r="DC209" s="301">
        <v>0</v>
      </c>
    </row>
    <row r="210" spans="81:107">
      <c r="CC210">
        <f t="shared" si="4"/>
        <v>0</v>
      </c>
      <c r="CD210" s="21">
        <f t="shared" si="5"/>
        <v>0</v>
      </c>
      <c r="CE210" t="s">
        <v>20</v>
      </c>
      <c r="CF210" s="304" t="str">
        <f t="shared" si="6"/>
        <v>0%</v>
      </c>
      <c r="CG210" s="304" t="str">
        <f t="shared" si="7"/>
        <v>0%</v>
      </c>
      <c r="CH210" s="304" t="str">
        <f t="shared" si="8"/>
        <v>0%</v>
      </c>
      <c r="CI210">
        <f t="shared" si="17"/>
        <v>0</v>
      </c>
      <c r="CJ210">
        <f t="shared" si="3"/>
        <v>0</v>
      </c>
      <c r="CK210">
        <f t="shared" si="3"/>
        <v>0</v>
      </c>
      <c r="CL210"/>
      <c r="CM210"/>
      <c r="CN210" s="1">
        <f t="shared" si="9"/>
        <v>0</v>
      </c>
      <c r="CO210" s="21">
        <f t="shared" si="10"/>
        <v>0</v>
      </c>
      <c r="CP210" t="s">
        <v>20</v>
      </c>
      <c r="CQ210" s="304" t="str">
        <f t="shared" si="11"/>
        <v>0%</v>
      </c>
      <c r="CR210" s="304" t="str">
        <f t="shared" si="12"/>
        <v>0%</v>
      </c>
      <c r="CS210" s="304" t="str">
        <f t="shared" si="13"/>
        <v>0%</v>
      </c>
      <c r="CT210">
        <f t="shared" si="14"/>
        <v>0</v>
      </c>
      <c r="CU210">
        <f t="shared" si="15"/>
        <v>0</v>
      </c>
      <c r="CV210">
        <f t="shared" si="16"/>
        <v>0</v>
      </c>
      <c r="CZ210" s="299" t="s">
        <v>411</v>
      </c>
      <c r="DA210" s="302">
        <v>0.33500000000000002</v>
      </c>
      <c r="DB210" s="301">
        <v>0</v>
      </c>
      <c r="DC210" s="301">
        <v>0</v>
      </c>
    </row>
    <row r="211" spans="81:107">
      <c r="CC211" t="str">
        <f t="shared" si="4"/>
        <v>npk 10:10:10</v>
      </c>
      <c r="CD211" s="21">
        <f t="shared" si="5"/>
        <v>100</v>
      </c>
      <c r="CE211" t="s">
        <v>20</v>
      </c>
      <c r="CF211" s="304">
        <f t="shared" ref="CF211:CH212" si="18">+P20</f>
        <v>0.1</v>
      </c>
      <c r="CG211" s="304">
        <f t="shared" si="18"/>
        <v>0.1</v>
      </c>
      <c r="CH211" s="304">
        <f t="shared" si="18"/>
        <v>0.1</v>
      </c>
      <c r="CI211">
        <f t="shared" si="17"/>
        <v>10</v>
      </c>
      <c r="CJ211">
        <f t="shared" si="3"/>
        <v>10</v>
      </c>
      <c r="CK211">
        <f t="shared" si="3"/>
        <v>10</v>
      </c>
      <c r="CL211"/>
      <c r="CM211"/>
      <c r="CN211" s="1" t="str">
        <f t="shared" si="9"/>
        <v>npk 10:10:10</v>
      </c>
      <c r="CO211" s="21">
        <f t="shared" si="10"/>
        <v>100</v>
      </c>
      <c r="CP211" t="s">
        <v>20</v>
      </c>
      <c r="CQ211" s="278">
        <f t="shared" ref="CQ211:CS212" si="19">+P20</f>
        <v>0.1</v>
      </c>
      <c r="CR211" s="278">
        <f t="shared" si="19"/>
        <v>0.1</v>
      </c>
      <c r="CS211" s="278">
        <f t="shared" si="19"/>
        <v>0.1</v>
      </c>
      <c r="CT211">
        <f t="shared" si="14"/>
        <v>10</v>
      </c>
      <c r="CU211">
        <f t="shared" si="15"/>
        <v>10</v>
      </c>
      <c r="CV211">
        <f t="shared" si="16"/>
        <v>10</v>
      </c>
    </row>
    <row r="212" spans="81:107">
      <c r="CC212">
        <f t="shared" si="4"/>
        <v>0</v>
      </c>
      <c r="CD212" s="21">
        <f t="shared" si="5"/>
        <v>0</v>
      </c>
      <c r="CE212" t="s">
        <v>20</v>
      </c>
      <c r="CF212" s="304">
        <f t="shared" si="18"/>
        <v>0</v>
      </c>
      <c r="CG212" s="304">
        <f t="shared" si="18"/>
        <v>0</v>
      </c>
      <c r="CH212" s="304">
        <f t="shared" si="18"/>
        <v>0</v>
      </c>
      <c r="CI212">
        <f t="shared" si="17"/>
        <v>0</v>
      </c>
      <c r="CJ212">
        <f t="shared" si="3"/>
        <v>0</v>
      </c>
      <c r="CK212">
        <f t="shared" si="3"/>
        <v>0</v>
      </c>
      <c r="CL212"/>
      <c r="CM212"/>
      <c r="CN212" s="1">
        <f t="shared" si="9"/>
        <v>0</v>
      </c>
      <c r="CO212" s="21">
        <f t="shared" si="10"/>
        <v>0</v>
      </c>
      <c r="CP212" t="s">
        <v>20</v>
      </c>
      <c r="CQ212" s="278">
        <f t="shared" si="19"/>
        <v>0</v>
      </c>
      <c r="CR212" s="278">
        <f t="shared" si="19"/>
        <v>0</v>
      </c>
      <c r="CS212" s="278">
        <f t="shared" si="19"/>
        <v>0</v>
      </c>
      <c r="CT212">
        <f t="shared" si="14"/>
        <v>0</v>
      </c>
      <c r="CU212">
        <f t="shared" si="15"/>
        <v>0</v>
      </c>
      <c r="CV212">
        <f t="shared" si="16"/>
        <v>0</v>
      </c>
    </row>
    <row r="213" spans="81:107">
      <c r="CC213" t="s">
        <v>384</v>
      </c>
      <c r="CD213" s="21">
        <f>+F14/1000</f>
        <v>20</v>
      </c>
      <c r="CE213" t="s">
        <v>2</v>
      </c>
      <c r="CF213" s="310">
        <v>6.4999999999999997E-3</v>
      </c>
      <c r="CG213" s="279">
        <v>3.0000000000000001E-3</v>
      </c>
      <c r="CH213" s="279">
        <v>6.0000000000000001E-3</v>
      </c>
      <c r="CI213">
        <f>CD213*CF213*1000*IF(CD214=1,50%,IF(CD214=2,30%,IF(CD214=3,20%,IF(CD214&gt;3,0))))</f>
        <v>0</v>
      </c>
      <c r="CJ213">
        <f>CD213*CG213*1000*IF(CD214=1,50%,IF(CD214=2,30%,IF(CD214=3,20%,IF(CD214&gt;3,0))))</f>
        <v>0</v>
      </c>
      <c r="CK213">
        <f>CD213*CH213*1000*IF(CD214=1,50%,IF(CD214=2,30%,IF(CD214=3,20%,IF(CD214&gt;3,0))))</f>
        <v>0</v>
      </c>
      <c r="CL213"/>
      <c r="CM213"/>
      <c r="CN213" t="s">
        <v>384</v>
      </c>
      <c r="CO213" s="21">
        <f>+F14/1000</f>
        <v>20</v>
      </c>
      <c r="CP213" t="s">
        <v>2</v>
      </c>
      <c r="CQ213" s="310">
        <v>6.4999999999999997E-3</v>
      </c>
      <c r="CR213" s="279">
        <v>3.0000000000000001E-3</v>
      </c>
      <c r="CS213" s="279">
        <v>6.0000000000000001E-3</v>
      </c>
      <c r="CT213">
        <f>CO213*CQ213*1000*IF(CO214=1,50%,IF(CO214=2,30%,IF(CO214=3,20%,IF(CO214&gt;3,0))))</f>
        <v>0</v>
      </c>
      <c r="CU213">
        <f>CO213*CR213*1000*IF(CO214=1,50%,IF(CO214=2,30%,IF(CO214=3,20%,IF(CO214&gt;3,0))))</f>
        <v>0</v>
      </c>
      <c r="CV213">
        <f>CO213*CS213*1000*IF(CO214=1,50%,IF(CO214=2,30%,IF(CO214=3,20%,IF(CO214&gt;3,0))))</f>
        <v>0</v>
      </c>
    </row>
    <row r="214" spans="81:107">
      <c r="CC214" t="s">
        <v>385</v>
      </c>
      <c r="CD214" s="306">
        <f>+E14</f>
        <v>5</v>
      </c>
      <c r="CE214" s="280" t="s">
        <v>386</v>
      </c>
      <c r="CF214"/>
      <c r="CG214"/>
      <c r="CH214"/>
      <c r="CI214"/>
      <c r="CJ214"/>
      <c r="CK214"/>
      <c r="CL214"/>
      <c r="CM214"/>
      <c r="CN214" t="s">
        <v>385</v>
      </c>
      <c r="CO214" s="306">
        <f>+E14</f>
        <v>5</v>
      </c>
      <c r="CP214" s="280" t="s">
        <v>386</v>
      </c>
      <c r="CQ214"/>
      <c r="CR214"/>
      <c r="CS214"/>
      <c r="CT214"/>
      <c r="CU214"/>
      <c r="CV214"/>
    </row>
    <row r="215" spans="81:107">
      <c r="CC215" t="s">
        <v>76</v>
      </c>
      <c r="CD215"/>
      <c r="CE215"/>
      <c r="CF215"/>
      <c r="CG215"/>
      <c r="CH215"/>
      <c r="CI215">
        <f>SUM(CI206:CI214)</f>
        <v>177</v>
      </c>
      <c r="CJ215">
        <f>SUM(CJ206:CJ214)</f>
        <v>102</v>
      </c>
      <c r="CK215">
        <f>SUM(CK206:CK214)</f>
        <v>50</v>
      </c>
      <c r="CL215"/>
      <c r="CM215"/>
      <c r="CN215" t="s">
        <v>76</v>
      </c>
      <c r="CO215"/>
      <c r="CP215"/>
      <c r="CQ215"/>
      <c r="CR215"/>
      <c r="CS215"/>
      <c r="CT215">
        <f>SUM(CT206:CT214)</f>
        <v>177</v>
      </c>
      <c r="CU215">
        <f>SUM(CU206:CU214)</f>
        <v>102</v>
      </c>
      <c r="CV215">
        <f>SUM(CV206:CV214)</f>
        <v>50</v>
      </c>
    </row>
    <row r="216" spans="81:107">
      <c r="CC216" s="311" t="s">
        <v>422</v>
      </c>
      <c r="CD216" s="281">
        <f>+F8/1000</f>
        <v>9</v>
      </c>
      <c r="CE216" t="s">
        <v>2</v>
      </c>
      <c r="CF216"/>
      <c r="CG216"/>
      <c r="CH216"/>
      <c r="CI216"/>
      <c r="CJ216"/>
      <c r="CK216"/>
      <c r="CL216"/>
      <c r="CM216"/>
      <c r="CN216" s="311" t="s">
        <v>422</v>
      </c>
      <c r="CO216" s="282">
        <f>+CD216</f>
        <v>9</v>
      </c>
      <c r="CP216" t="s">
        <v>2</v>
      </c>
      <c r="CQ216"/>
      <c r="CR216"/>
      <c r="CS216"/>
      <c r="CT216"/>
      <c r="CU216"/>
      <c r="CV216"/>
    </row>
    <row r="217" spans="81:107">
      <c r="CC217" s="311" t="s">
        <v>423</v>
      </c>
      <c r="CD217"/>
      <c r="CE217" t="s">
        <v>390</v>
      </c>
      <c r="CF217"/>
      <c r="CG217"/>
      <c r="CH217"/>
      <c r="CI217" s="283">
        <v>19.3</v>
      </c>
      <c r="CJ217" s="283">
        <v>9.4</v>
      </c>
      <c r="CK217" s="283">
        <v>6.8</v>
      </c>
      <c r="CL217"/>
      <c r="CM217"/>
      <c r="CN217" s="311" t="s">
        <v>423</v>
      </c>
      <c r="CO217"/>
      <c r="CP217" t="s">
        <v>390</v>
      </c>
      <c r="CQ217"/>
      <c r="CR217"/>
      <c r="CS217"/>
      <c r="CT217" s="283">
        <v>27.5</v>
      </c>
      <c r="CU217" s="283">
        <v>12.5</v>
      </c>
      <c r="CV217" s="283">
        <v>22.5</v>
      </c>
    </row>
    <row r="218" spans="81:107" ht="15" thickBot="1">
      <c r="CC218" s="311" t="s">
        <v>423</v>
      </c>
      <c r="CD218"/>
      <c r="CE218" t="s">
        <v>20</v>
      </c>
      <c r="CF218"/>
      <c r="CG218"/>
      <c r="CH218"/>
      <c r="CI218">
        <f>CD216*CI217</f>
        <v>173.70000000000002</v>
      </c>
      <c r="CJ218">
        <f>CD216*CJ217</f>
        <v>84.600000000000009</v>
      </c>
      <c r="CK218">
        <f>CD216*CK217</f>
        <v>61.199999999999996</v>
      </c>
      <c r="CL218"/>
      <c r="CM218"/>
      <c r="CN218" s="311" t="s">
        <v>423</v>
      </c>
      <c r="CO218"/>
      <c r="CP218" t="s">
        <v>20</v>
      </c>
      <c r="CQ218"/>
      <c r="CR218"/>
      <c r="CS218"/>
      <c r="CT218">
        <f>CO216*CT217</f>
        <v>247.5</v>
      </c>
      <c r="CU218">
        <f>CO216*CU217</f>
        <v>112.5</v>
      </c>
      <c r="CV218">
        <f>CO216*CV217</f>
        <v>202.5</v>
      </c>
    </row>
    <row r="219" spans="81:107" ht="16.5" thickTop="1" thickBot="1">
      <c r="CC219" s="284" t="s">
        <v>391</v>
      </c>
      <c r="CD219" s="285"/>
      <c r="CE219" s="285" t="s">
        <v>20</v>
      </c>
      <c r="CF219" s="285"/>
      <c r="CG219" s="285"/>
      <c r="CH219" s="285"/>
      <c r="CI219" s="286">
        <f>SUM(CI215:CI215)-CI218</f>
        <v>3.2999999999999829</v>
      </c>
      <c r="CJ219" s="287">
        <f>CJ215-CJ218</f>
        <v>17.399999999999991</v>
      </c>
      <c r="CK219" s="288">
        <f>CK215-CK218</f>
        <v>-11.199999999999996</v>
      </c>
      <c r="CL219"/>
      <c r="CM219"/>
      <c r="CN219" s="284" t="s">
        <v>391</v>
      </c>
      <c r="CO219" s="285"/>
      <c r="CP219" s="285" t="s">
        <v>20</v>
      </c>
      <c r="CQ219" s="285"/>
      <c r="CR219" s="285"/>
      <c r="CS219" s="285"/>
      <c r="CT219" s="285">
        <f>SUM(CT215:CT215)-CT218</f>
        <v>-70.5</v>
      </c>
      <c r="CU219" s="288">
        <f>CU215-CU218</f>
        <v>-10.5</v>
      </c>
      <c r="CV219" s="288">
        <f>CV215-CV218</f>
        <v>-152.5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315">
        <f>+Inputi!D8</f>
        <v>73.91304347826086</v>
      </c>
      <c r="CJ221" s="303">
        <f>+Inputi!E8</f>
        <v>90.168896321070235</v>
      </c>
      <c r="CK221" s="303">
        <f>+Inputi!F8</f>
        <v>42.600936454849503</v>
      </c>
      <c r="CL221"/>
      <c r="CM221"/>
      <c r="CN221" t="s">
        <v>5</v>
      </c>
      <c r="CO221"/>
      <c r="CP221"/>
      <c r="CQ221"/>
      <c r="CR221"/>
      <c r="CS221"/>
      <c r="CT221" s="315">
        <f>+Inputi!D8</f>
        <v>73.91304347826086</v>
      </c>
      <c r="CU221" s="303">
        <f>+Inputi!E8</f>
        <v>90.168896321070235</v>
      </c>
      <c r="CV221" s="303">
        <f>+Inputi!F8</f>
        <v>42.600936454849503</v>
      </c>
    </row>
    <row r="222" spans="81:107" ht="15">
      <c r="CC222" s="276" t="s">
        <v>392</v>
      </c>
      <c r="CD222" s="289">
        <f>SUMPRODUCT(CI221:CK221,CI215:CK215)</f>
        <v>24409.88294314381</v>
      </c>
      <c r="CE222"/>
      <c r="CF222"/>
      <c r="CG222"/>
      <c r="CH222"/>
      <c r="CI222"/>
      <c r="CJ222"/>
      <c r="CK222"/>
      <c r="CL222"/>
      <c r="CM222"/>
      <c r="CN222" s="276" t="s">
        <v>392</v>
      </c>
      <c r="CO222" s="289">
        <f>SUMPRODUCT(CT221:CV221,CT215:CV215)</f>
        <v>24409.88294314381</v>
      </c>
      <c r="CP222"/>
      <c r="CQ222"/>
      <c r="CR222"/>
      <c r="CS222"/>
      <c r="CT222"/>
      <c r="CU222"/>
      <c r="CV222"/>
    </row>
    <row r="223" spans="81:107" ht="15.75">
      <c r="CC223" s="290" t="s">
        <v>393</v>
      </c>
      <c r="CD223" s="291">
        <f>CI218*CI221+CJ218*CJ221+CK218*CK221</f>
        <v>23074.161591973247</v>
      </c>
      <c r="CE223"/>
      <c r="CF223"/>
      <c r="CG223"/>
      <c r="CH223"/>
      <c r="CI223"/>
      <c r="CJ223"/>
      <c r="CK223"/>
      <c r="CL223"/>
      <c r="CM223"/>
      <c r="CN223" s="290" t="s">
        <v>393</v>
      </c>
      <c r="CO223" s="291">
        <f>CT218*CT221+CU218*CU221+CV218*CV221</f>
        <v>37064.168729096986</v>
      </c>
      <c r="CP223"/>
      <c r="CQ223"/>
      <c r="CR223"/>
      <c r="CS223"/>
      <c r="CT223"/>
      <c r="CU223"/>
      <c r="CV223"/>
    </row>
    <row r="224" spans="81:107" ht="30">
      <c r="CC224" s="309" t="s">
        <v>394</v>
      </c>
      <c r="CD224" s="292">
        <f>CJ219*CJ221+CK219*CK221</f>
        <v>1091.8083076923069</v>
      </c>
      <c r="CE224"/>
      <c r="CF224"/>
      <c r="CG224"/>
      <c r="CH224"/>
      <c r="CI224"/>
      <c r="CJ224"/>
      <c r="CK224"/>
      <c r="CL224"/>
      <c r="CM224"/>
      <c r="CN224" s="309" t="s">
        <v>394</v>
      </c>
      <c r="CO224" s="292">
        <f>CU219*CU221+CV219*CV221</f>
        <v>-7443.4162207357867</v>
      </c>
      <c r="CP224"/>
      <c r="CQ224"/>
      <c r="CR224"/>
      <c r="CS224"/>
      <c r="CT224"/>
      <c r="CU224"/>
      <c r="CV224"/>
    </row>
  </sheetData>
  <sheetProtection password="B310" sheet="1" objects="1" scenarios="1" formatCells="0"/>
  <protectedRanges>
    <protectedRange sqref="P20:R21" name="Range10"/>
    <protectedRange sqref="D102:D103" name="Range9"/>
    <protectedRange sqref="D12:I45" name="Range4"/>
    <protectedRange sqref="F4" name="Range1"/>
    <protectedRange sqref="F8:G9" name="Range2"/>
    <protectedRange sqref="H8:I9" name="Range3"/>
    <protectedRange sqref="L4:L48" name="Range5"/>
    <protectedRange sqref="I97:J97" name="Range7"/>
    <protectedRange sqref="D99:D100" name="Range8"/>
    <protectedRange sqref="F97:G97" name="Range11"/>
  </protectedRanges>
  <conditionalFormatting sqref="R5">
    <cfRule type="cellIs" dxfId="57" priority="8" operator="lessThan">
      <formula>0</formula>
    </cfRule>
  </conditionalFormatting>
  <conditionalFormatting sqref="Q5">
    <cfRule type="cellIs" dxfId="56" priority="7" operator="lessThan">
      <formula>1</formula>
    </cfRule>
  </conditionalFormatting>
  <conditionalFormatting sqref="P5">
    <cfRule type="cellIs" dxfId="55" priority="6" operator="lessThan">
      <formula>1</formula>
    </cfRule>
    <cfRule type="cellIs" dxfId="54" priority="5" operator="lessThan">
      <formula>0</formula>
    </cfRule>
  </conditionalFormatting>
  <conditionalFormatting sqref="R7">
    <cfRule type="cellIs" dxfId="53" priority="4" operator="lessThan">
      <formula>1</formula>
    </cfRule>
    <cfRule type="cellIs" dxfId="52" priority="3" operator="lessThan">
      <formula>0</formula>
    </cfRule>
  </conditionalFormatting>
  <conditionalFormatting sqref="Q7">
    <cfRule type="cellIs" dxfId="51" priority="2" operator="lessThan">
      <formula>0</formula>
    </cfRule>
  </conditionalFormatting>
  <conditionalFormatting sqref="P7">
    <cfRule type="cellIs" dxfId="50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verticalDpi="0" r:id="rId1"/>
  <rowBreaks count="1" manualBreakCount="1">
    <brk id="49" max="9" man="1"/>
  </rowBreaks>
  <ignoredErrors>
    <ignoredError sqref="E101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B1:DC224"/>
  <sheetViews>
    <sheetView zoomScale="120" zoomScaleNormal="120" zoomScaleSheetLayoutView="100" workbookViewId="0">
      <selection activeCell="J6" sqref="J6"/>
    </sheetView>
  </sheetViews>
  <sheetFormatPr defaultRowHeight="14.25"/>
  <cols>
    <col min="1" max="1" width="2.7109375" style="3" customWidth="1"/>
    <col min="2" max="2" width="3.5703125" style="3" bestFit="1" customWidth="1"/>
    <col min="3" max="3" width="6.7109375" style="3" customWidth="1"/>
    <col min="4" max="4" width="21.28515625" style="3" customWidth="1"/>
    <col min="5" max="5" width="7.42578125" style="3" customWidth="1"/>
    <col min="6" max="6" width="12" style="3" customWidth="1"/>
    <col min="7" max="7" width="8.7109375" style="3" bestFit="1" customWidth="1"/>
    <col min="8" max="8" width="10.7109375" style="3" customWidth="1"/>
    <col min="9" max="9" width="8.7109375" style="3" bestFit="1" customWidth="1"/>
    <col min="10" max="10" width="16.28515625" style="3" customWidth="1"/>
    <col min="11" max="11" width="2.42578125" style="3" customWidth="1"/>
    <col min="12" max="12" width="10.5703125" style="2" customWidth="1"/>
    <col min="13" max="14" width="2.42578125" style="3" customWidth="1"/>
    <col min="15" max="15" width="20.7109375" style="3" customWidth="1"/>
    <col min="16" max="18" width="9.140625" style="3"/>
    <col min="19" max="19" width="20.7109375" style="3" customWidth="1"/>
    <col min="20" max="80" width="9.140625" style="3"/>
    <col min="81" max="81" width="19.140625" style="3" customWidth="1"/>
    <col min="82" max="89" width="9.140625" style="3"/>
    <col min="90" max="91" width="2.42578125" style="3" customWidth="1"/>
    <col min="92" max="92" width="19.140625" style="3" customWidth="1"/>
    <col min="93" max="100" width="9.140625" style="3"/>
    <col min="101" max="103" width="2.5703125" style="3" customWidth="1"/>
    <col min="104" max="104" width="12.7109375" style="3" customWidth="1"/>
    <col min="105" max="16384" width="9.140625" style="3"/>
  </cols>
  <sheetData>
    <row r="1" spans="2:18" ht="23.25">
      <c r="C1" s="82" t="s">
        <v>112</v>
      </c>
      <c r="O1" s="331" t="s">
        <v>426</v>
      </c>
      <c r="P1" s="331"/>
      <c r="Q1" s="331"/>
      <c r="R1" s="331"/>
    </row>
    <row r="2" spans="2:18">
      <c r="O2" s="331" t="s">
        <v>428</v>
      </c>
      <c r="P2" s="331"/>
      <c r="Q2" s="331"/>
      <c r="R2" s="331"/>
    </row>
    <row r="3" spans="2:18" ht="15.75" thickBot="1">
      <c r="C3" s="89" t="s">
        <v>114</v>
      </c>
      <c r="D3" s="89"/>
      <c r="E3" s="89"/>
      <c r="F3" s="89"/>
      <c r="G3" s="89"/>
      <c r="H3" s="89"/>
      <c r="L3" s="81" t="s">
        <v>0</v>
      </c>
      <c r="O3" s="317"/>
      <c r="P3" s="316" t="s">
        <v>381</v>
      </c>
      <c r="Q3" s="316" t="s">
        <v>415</v>
      </c>
      <c r="R3" s="316" t="s">
        <v>416</v>
      </c>
    </row>
    <row r="4" spans="2:18" ht="15.75" thickBot="1">
      <c r="C4" s="90" t="s">
        <v>137</v>
      </c>
      <c r="D4" s="90"/>
      <c r="E4" s="90"/>
      <c r="F4" s="98" t="s">
        <v>406</v>
      </c>
      <c r="L4" s="25"/>
      <c r="O4" s="318" t="s">
        <v>427</v>
      </c>
      <c r="P4" s="319">
        <f t="shared" ref="P4:R5" si="0">+CI218</f>
        <v>144.75</v>
      </c>
      <c r="Q4" s="319">
        <f t="shared" si="0"/>
        <v>70.5</v>
      </c>
      <c r="R4" s="319">
        <f t="shared" si="0"/>
        <v>47.25</v>
      </c>
    </row>
    <row r="5" spans="2:18" ht="15.75" thickBot="1">
      <c r="L5" s="26"/>
      <c r="O5" s="332" t="s">
        <v>429</v>
      </c>
      <c r="P5" s="333">
        <f t="shared" si="0"/>
        <v>5.75</v>
      </c>
      <c r="Q5" s="333">
        <f t="shared" si="0"/>
        <v>-13.5</v>
      </c>
      <c r="R5" s="333">
        <f t="shared" si="0"/>
        <v>21.75</v>
      </c>
    </row>
    <row r="6" spans="2:18" ht="38.25">
      <c r="E6" s="150" t="s">
        <v>150</v>
      </c>
      <c r="F6" s="123" t="s">
        <v>3</v>
      </c>
      <c r="G6" s="125" t="s">
        <v>4</v>
      </c>
      <c r="H6" s="123" t="s">
        <v>5</v>
      </c>
      <c r="I6" s="125" t="s">
        <v>4</v>
      </c>
      <c r="J6" s="123" t="s">
        <v>63</v>
      </c>
      <c r="L6" s="26"/>
      <c r="O6" s="324" t="s">
        <v>454</v>
      </c>
      <c r="P6" s="323">
        <f t="shared" ref="P6:R7" si="1">IF($J$9&gt;100,CT218,"0")</f>
        <v>206.25</v>
      </c>
      <c r="Q6" s="323">
        <f t="shared" si="1"/>
        <v>93.75</v>
      </c>
      <c r="R6" s="323">
        <f t="shared" si="1"/>
        <v>157.5</v>
      </c>
    </row>
    <row r="7" spans="2:18" ht="15.75" thickBot="1">
      <c r="B7" s="32" t="s">
        <v>6</v>
      </c>
      <c r="C7" s="33" t="s">
        <v>7</v>
      </c>
      <c r="D7" s="34"/>
      <c r="E7" s="35"/>
      <c r="F7" s="4"/>
      <c r="G7" s="4"/>
      <c r="H7" s="4"/>
      <c r="I7" s="4"/>
      <c r="J7" s="4"/>
      <c r="L7" s="27"/>
      <c r="O7" s="332" t="s">
        <v>429</v>
      </c>
      <c r="P7" s="336">
        <f t="shared" si="1"/>
        <v>-55.75</v>
      </c>
      <c r="Q7" s="337">
        <f t="shared" si="1"/>
        <v>-36.75</v>
      </c>
      <c r="R7" s="337">
        <f t="shared" si="1"/>
        <v>-88.5</v>
      </c>
    </row>
    <row r="8" spans="2:18" ht="15">
      <c r="B8" s="5" t="s">
        <v>8</v>
      </c>
      <c r="C8" s="36" t="s">
        <v>182</v>
      </c>
      <c r="E8" s="37">
        <v>1</v>
      </c>
      <c r="F8" s="83">
        <v>7500</v>
      </c>
      <c r="G8" s="6" t="s">
        <v>20</v>
      </c>
      <c r="H8" s="83">
        <v>17</v>
      </c>
      <c r="I8" s="6" t="s">
        <v>21</v>
      </c>
      <c r="J8" s="38">
        <f>E8*F8*H8</f>
        <v>127500</v>
      </c>
      <c r="L8" s="26"/>
    </row>
    <row r="9" spans="2:18" ht="15.75" thickBot="1">
      <c r="B9" s="5" t="s">
        <v>11</v>
      </c>
      <c r="C9" s="29" t="s">
        <v>115</v>
      </c>
      <c r="E9" s="39">
        <v>1</v>
      </c>
      <c r="F9" s="99">
        <f>+F8/1000</f>
        <v>7.5</v>
      </c>
      <c r="G9" s="3" t="s">
        <v>2</v>
      </c>
      <c r="H9" s="51">
        <v>1000</v>
      </c>
      <c r="I9" s="3" t="s">
        <v>10</v>
      </c>
      <c r="J9" s="40">
        <f>E9*F9*H9</f>
        <v>7500</v>
      </c>
      <c r="L9" s="26" t="s">
        <v>417</v>
      </c>
    </row>
    <row r="10" spans="2:18" ht="15.75" thickBot="1">
      <c r="B10" s="41"/>
      <c r="C10" s="42" t="s">
        <v>46</v>
      </c>
      <c r="D10" s="43"/>
      <c r="E10" s="43"/>
      <c r="F10" s="44"/>
      <c r="G10" s="45"/>
      <c r="H10" s="44"/>
      <c r="I10" s="45"/>
      <c r="J10" s="46">
        <f>SUM(J8:J9)</f>
        <v>135000</v>
      </c>
      <c r="L10" s="26"/>
    </row>
    <row r="11" spans="2:18" ht="15">
      <c r="B11" s="47" t="s">
        <v>13</v>
      </c>
      <c r="C11" s="29" t="s">
        <v>14</v>
      </c>
      <c r="E11" s="48"/>
      <c r="F11" s="8"/>
      <c r="H11" s="8"/>
      <c r="J11" s="49"/>
      <c r="L11" s="26"/>
    </row>
    <row r="12" spans="2:18">
      <c r="B12" s="5" t="s">
        <v>8</v>
      </c>
      <c r="C12" s="4" t="s">
        <v>15</v>
      </c>
      <c r="E12" s="65">
        <v>1</v>
      </c>
      <c r="F12" s="126">
        <v>250</v>
      </c>
      <c r="G12" s="4" t="s">
        <v>96</v>
      </c>
      <c r="H12" s="51">
        <v>40</v>
      </c>
      <c r="I12" s="4" t="s">
        <v>17</v>
      </c>
      <c r="J12" s="49">
        <f t="shared" ref="J12" si="2">E12*F12*H12</f>
        <v>10000</v>
      </c>
      <c r="L12" s="26"/>
    </row>
    <row r="13" spans="2:18">
      <c r="B13" s="10" t="s">
        <v>11</v>
      </c>
      <c r="C13" s="4" t="s">
        <v>106</v>
      </c>
      <c r="E13" s="65"/>
      <c r="F13" s="9"/>
      <c r="G13" s="4"/>
      <c r="H13" s="9"/>
      <c r="I13" s="4"/>
      <c r="J13" s="49"/>
      <c r="L13" s="26"/>
    </row>
    <row r="14" spans="2:18">
      <c r="C14" s="11"/>
      <c r="D14" s="52" t="s">
        <v>19</v>
      </c>
      <c r="E14" s="305">
        <v>3</v>
      </c>
      <c r="F14" s="51">
        <v>20000</v>
      </c>
      <c r="G14" s="3" t="s">
        <v>96</v>
      </c>
      <c r="H14" s="66">
        <v>1.5</v>
      </c>
      <c r="I14" s="3" t="s">
        <v>21</v>
      </c>
      <c r="J14" s="49">
        <f>H14*F14*IF(E14=1,0.5, IF(E14=2,0.3,IF(E14=3,0.2,"0")))</f>
        <v>6000</v>
      </c>
      <c r="L14" s="26" t="s">
        <v>420</v>
      </c>
    </row>
    <row r="15" spans="2:18">
      <c r="D15" s="52" t="s">
        <v>408</v>
      </c>
      <c r="E15" s="65">
        <v>1</v>
      </c>
      <c r="F15" s="51">
        <v>300</v>
      </c>
      <c r="G15" s="3" t="s">
        <v>96</v>
      </c>
      <c r="H15" s="66">
        <v>40</v>
      </c>
      <c r="I15" s="3" t="s">
        <v>21</v>
      </c>
      <c r="J15" s="49">
        <f t="shared" ref="J15:J44" si="3">E15*F15*H15</f>
        <v>12000</v>
      </c>
      <c r="L15" s="26"/>
    </row>
    <row r="16" spans="2:18">
      <c r="D16" s="52" t="s">
        <v>409</v>
      </c>
      <c r="E16" s="65">
        <v>1</v>
      </c>
      <c r="F16" s="51">
        <v>100</v>
      </c>
      <c r="G16" s="3" t="s">
        <v>96</v>
      </c>
      <c r="H16" s="66">
        <v>34</v>
      </c>
      <c r="I16" s="3" t="s">
        <v>21</v>
      </c>
      <c r="J16" s="49">
        <f t="shared" si="3"/>
        <v>3400</v>
      </c>
      <c r="L16" s="26"/>
    </row>
    <row r="17" spans="2:18">
      <c r="D17" s="52" t="s">
        <v>411</v>
      </c>
      <c r="E17" s="65">
        <v>1</v>
      </c>
      <c r="F17" s="51">
        <v>100</v>
      </c>
      <c r="G17" s="3" t="s">
        <v>96</v>
      </c>
      <c r="H17" s="66">
        <v>30</v>
      </c>
      <c r="I17" s="3" t="s">
        <v>21</v>
      </c>
      <c r="J17" s="49">
        <f t="shared" si="3"/>
        <v>3000</v>
      </c>
      <c r="L17" s="26"/>
    </row>
    <row r="18" spans="2:18">
      <c r="D18" s="52"/>
      <c r="E18" s="65">
        <v>1</v>
      </c>
      <c r="F18" s="51"/>
      <c r="G18" s="3" t="s">
        <v>96</v>
      </c>
      <c r="H18" s="66"/>
      <c r="I18" s="3" t="s">
        <v>21</v>
      </c>
      <c r="J18" s="49">
        <f t="shared" si="3"/>
        <v>0</v>
      </c>
      <c r="L18" s="26"/>
    </row>
    <row r="19" spans="2:18" ht="15">
      <c r="D19" s="52"/>
      <c r="E19" s="65">
        <v>1</v>
      </c>
      <c r="F19" s="51"/>
      <c r="G19" s="3" t="s">
        <v>96</v>
      </c>
      <c r="H19" s="66"/>
      <c r="I19" s="3" t="s">
        <v>21</v>
      </c>
      <c r="J19" s="49">
        <f t="shared" si="3"/>
        <v>0</v>
      </c>
      <c r="L19" s="26"/>
      <c r="P19" s="307" t="s">
        <v>381</v>
      </c>
      <c r="Q19" s="307" t="s">
        <v>415</v>
      </c>
      <c r="R19" s="307" t="s">
        <v>416</v>
      </c>
    </row>
    <row r="20" spans="2:18">
      <c r="D20" s="320"/>
      <c r="E20" s="65">
        <v>1</v>
      </c>
      <c r="F20" s="51"/>
      <c r="G20" s="3" t="s">
        <v>96</v>
      </c>
      <c r="H20" s="66"/>
      <c r="I20" s="3" t="s">
        <v>21</v>
      </c>
      <c r="J20" s="49">
        <f t="shared" si="3"/>
        <v>0</v>
      </c>
      <c r="L20" s="321" t="s">
        <v>430</v>
      </c>
      <c r="P20" s="308">
        <v>0</v>
      </c>
      <c r="Q20" s="308">
        <v>0.2</v>
      </c>
      <c r="R20" s="308">
        <v>0.2</v>
      </c>
    </row>
    <row r="21" spans="2:18">
      <c r="D21" s="320"/>
      <c r="E21" s="65">
        <v>1</v>
      </c>
      <c r="F21" s="51"/>
      <c r="G21" s="3" t="s">
        <v>96</v>
      </c>
      <c r="H21" s="66"/>
      <c r="I21" s="3" t="s">
        <v>21</v>
      </c>
      <c r="J21" s="49">
        <f t="shared" si="3"/>
        <v>0</v>
      </c>
      <c r="L21" s="321" t="s">
        <v>430</v>
      </c>
      <c r="P21" s="308">
        <v>0</v>
      </c>
      <c r="Q21" s="308">
        <v>0</v>
      </c>
      <c r="R21" s="308">
        <v>0</v>
      </c>
    </row>
    <row r="22" spans="2:18">
      <c r="B22" s="10" t="s">
        <v>22</v>
      </c>
      <c r="C22" s="17" t="s">
        <v>23</v>
      </c>
      <c r="E22" s="31"/>
      <c r="J22" s="49"/>
      <c r="L22" s="26"/>
    </row>
    <row r="23" spans="2:18">
      <c r="D23" s="52" t="s">
        <v>117</v>
      </c>
      <c r="E23" s="65">
        <v>1</v>
      </c>
      <c r="F23" s="66">
        <v>10</v>
      </c>
      <c r="G23" s="3" t="s">
        <v>116</v>
      </c>
      <c r="H23" s="99">
        <v>20</v>
      </c>
      <c r="I23" s="3" t="s">
        <v>144</v>
      </c>
      <c r="J23" s="49">
        <f t="shared" si="3"/>
        <v>200</v>
      </c>
      <c r="L23" s="26"/>
    </row>
    <row r="24" spans="2:18">
      <c r="D24" s="52" t="s">
        <v>50</v>
      </c>
      <c r="E24" s="65">
        <v>1</v>
      </c>
      <c r="F24" s="66"/>
      <c r="H24" s="51"/>
      <c r="J24" s="49">
        <f t="shared" si="3"/>
        <v>0</v>
      </c>
      <c r="L24" s="26"/>
    </row>
    <row r="25" spans="2:18">
      <c r="D25" s="52" t="s">
        <v>26</v>
      </c>
      <c r="E25" s="65">
        <v>1</v>
      </c>
      <c r="F25" s="66"/>
      <c r="H25" s="51"/>
      <c r="J25" s="49">
        <f t="shared" si="3"/>
        <v>0</v>
      </c>
      <c r="L25" s="26"/>
    </row>
    <row r="26" spans="2:18">
      <c r="D26" s="52" t="s">
        <v>27</v>
      </c>
      <c r="E26" s="65">
        <v>1</v>
      </c>
      <c r="F26" s="66"/>
      <c r="H26" s="51"/>
      <c r="J26" s="49">
        <f t="shared" si="3"/>
        <v>0</v>
      </c>
      <c r="L26" s="26"/>
    </row>
    <row r="27" spans="2:18">
      <c r="D27" s="52" t="s">
        <v>28</v>
      </c>
      <c r="E27" s="65">
        <v>1</v>
      </c>
      <c r="F27" s="66"/>
      <c r="H27" s="51"/>
      <c r="J27" s="49">
        <f t="shared" si="3"/>
        <v>0</v>
      </c>
      <c r="L27" s="26"/>
    </row>
    <row r="28" spans="2:18">
      <c r="D28" s="52" t="s">
        <v>29</v>
      </c>
      <c r="E28" s="65">
        <v>1</v>
      </c>
      <c r="F28" s="66"/>
      <c r="H28" s="51"/>
      <c r="J28" s="49">
        <f t="shared" si="3"/>
        <v>0</v>
      </c>
      <c r="L28" s="26"/>
    </row>
    <row r="29" spans="2:18">
      <c r="B29" s="10" t="s">
        <v>30</v>
      </c>
      <c r="C29" s="3" t="s">
        <v>52</v>
      </c>
      <c r="E29" s="31"/>
      <c r="H29" s="8"/>
      <c r="J29" s="49"/>
      <c r="L29" s="26"/>
    </row>
    <row r="30" spans="2:18">
      <c r="C30" s="11" t="s">
        <v>56</v>
      </c>
      <c r="D30" s="17" t="s">
        <v>56</v>
      </c>
      <c r="E30" s="39">
        <v>1</v>
      </c>
      <c r="F30" s="66">
        <v>15</v>
      </c>
      <c r="G30" s="3" t="s">
        <v>93</v>
      </c>
      <c r="H30" s="51">
        <v>145</v>
      </c>
      <c r="I30" s="3" t="s">
        <v>34</v>
      </c>
      <c r="J30" s="49">
        <f t="shared" si="3"/>
        <v>2175</v>
      </c>
      <c r="L30" s="26" t="s">
        <v>104</v>
      </c>
    </row>
    <row r="31" spans="2:18">
      <c r="B31" s="10" t="s">
        <v>35</v>
      </c>
      <c r="C31" s="3" t="s">
        <v>54</v>
      </c>
      <c r="E31" s="39">
        <v>1</v>
      </c>
      <c r="F31" s="66">
        <v>30</v>
      </c>
      <c r="G31" s="3" t="s">
        <v>93</v>
      </c>
      <c r="H31" s="51">
        <f>Inputi!G11</f>
        <v>145</v>
      </c>
      <c r="I31" s="3" t="s">
        <v>34</v>
      </c>
      <c r="J31" s="49">
        <f t="shared" si="3"/>
        <v>4350</v>
      </c>
      <c r="L31" s="26"/>
    </row>
    <row r="32" spans="2:18">
      <c r="B32" s="10" t="s">
        <v>40</v>
      </c>
      <c r="C32" s="3" t="s">
        <v>55</v>
      </c>
      <c r="E32" s="39">
        <v>1</v>
      </c>
      <c r="F32" s="3">
        <v>1</v>
      </c>
      <c r="G32" s="3" t="s">
        <v>1</v>
      </c>
      <c r="H32" s="8">
        <f>Inputi!$F$43*F31</f>
        <v>1985.0000000000002</v>
      </c>
      <c r="I32" s="3" t="s">
        <v>37</v>
      </c>
      <c r="J32" s="49">
        <f t="shared" si="3"/>
        <v>1985.0000000000002</v>
      </c>
      <c r="L32" s="26"/>
    </row>
    <row r="33" spans="2:12">
      <c r="B33" s="10" t="s">
        <v>60</v>
      </c>
      <c r="C33" s="3" t="s">
        <v>58</v>
      </c>
      <c r="E33" s="31"/>
      <c r="H33" s="8"/>
      <c r="J33" s="49"/>
      <c r="L33" s="26"/>
    </row>
    <row r="34" spans="2:12">
      <c r="B34" s="10"/>
      <c r="C34" s="67"/>
      <c r="D34" s="68" t="s">
        <v>59</v>
      </c>
      <c r="E34" s="65">
        <v>1</v>
      </c>
      <c r="F34" s="66">
        <v>1</v>
      </c>
      <c r="G34" s="3" t="s">
        <v>1</v>
      </c>
      <c r="H34" s="51">
        <v>10000</v>
      </c>
      <c r="I34" s="3" t="s">
        <v>37</v>
      </c>
      <c r="J34" s="49">
        <f t="shared" si="3"/>
        <v>10000</v>
      </c>
      <c r="L34" s="26"/>
    </row>
    <row r="35" spans="2:12">
      <c r="B35" s="10"/>
      <c r="C35" s="67"/>
      <c r="D35" s="68" t="s">
        <v>65</v>
      </c>
      <c r="E35" s="65">
        <v>1</v>
      </c>
      <c r="F35" s="66"/>
      <c r="G35" s="3" t="s">
        <v>1</v>
      </c>
      <c r="H35" s="51"/>
      <c r="I35" s="3" t="s">
        <v>37</v>
      </c>
      <c r="J35" s="49">
        <f t="shared" si="3"/>
        <v>0</v>
      </c>
      <c r="L35" s="26"/>
    </row>
    <row r="36" spans="2:12">
      <c r="B36" s="10"/>
      <c r="C36" s="67"/>
      <c r="D36" s="68" t="s">
        <v>38</v>
      </c>
      <c r="E36" s="65">
        <v>1</v>
      </c>
      <c r="F36" s="66">
        <v>1</v>
      </c>
      <c r="G36" s="3" t="s">
        <v>1</v>
      </c>
      <c r="H36" s="51">
        <v>2200</v>
      </c>
      <c r="I36" s="3" t="s">
        <v>37</v>
      </c>
      <c r="J36" s="49">
        <f t="shared" si="3"/>
        <v>2200</v>
      </c>
      <c r="L36" s="26"/>
    </row>
    <row r="37" spans="2:12">
      <c r="B37" s="10"/>
      <c r="C37" s="67"/>
      <c r="D37" s="68" t="s">
        <v>118</v>
      </c>
      <c r="E37" s="65">
        <v>1</v>
      </c>
      <c r="F37" s="66">
        <v>1</v>
      </c>
      <c r="G37" s="3" t="s">
        <v>1</v>
      </c>
      <c r="H37" s="51">
        <v>11000</v>
      </c>
      <c r="I37" s="3" t="s">
        <v>37</v>
      </c>
      <c r="J37" s="49">
        <f t="shared" si="3"/>
        <v>11000</v>
      </c>
      <c r="L37" s="26"/>
    </row>
    <row r="38" spans="2:12">
      <c r="C38" s="67"/>
      <c r="D38" s="68"/>
      <c r="E38" s="65">
        <v>1</v>
      </c>
      <c r="F38" s="66"/>
      <c r="G38" s="3" t="s">
        <v>1</v>
      </c>
      <c r="H38" s="51"/>
      <c r="I38" s="3" t="s">
        <v>37</v>
      </c>
      <c r="J38" s="49">
        <f t="shared" si="3"/>
        <v>0</v>
      </c>
      <c r="L38" s="26"/>
    </row>
    <row r="39" spans="2:12">
      <c r="C39" s="69"/>
      <c r="D39" s="66"/>
      <c r="E39" s="65">
        <v>1</v>
      </c>
      <c r="F39" s="66"/>
      <c r="G39" s="3" t="s">
        <v>1</v>
      </c>
      <c r="H39" s="51"/>
      <c r="I39" s="3" t="s">
        <v>37</v>
      </c>
      <c r="J39" s="49">
        <f t="shared" si="3"/>
        <v>0</v>
      </c>
      <c r="L39" s="26"/>
    </row>
    <row r="40" spans="2:12">
      <c r="B40" s="10" t="s">
        <v>62</v>
      </c>
      <c r="C40" s="3" t="s">
        <v>57</v>
      </c>
      <c r="E40" s="65">
        <v>1</v>
      </c>
      <c r="F40" s="66">
        <v>5</v>
      </c>
      <c r="G40" s="3" t="s">
        <v>100</v>
      </c>
      <c r="H40" s="51">
        <v>150</v>
      </c>
      <c r="I40" s="3" t="s">
        <v>105</v>
      </c>
      <c r="J40" s="49">
        <f t="shared" si="3"/>
        <v>750</v>
      </c>
      <c r="L40" s="26" t="s">
        <v>119</v>
      </c>
    </row>
    <row r="41" spans="2:12">
      <c r="B41" s="10" t="s">
        <v>67</v>
      </c>
      <c r="C41" s="3" t="s">
        <v>271</v>
      </c>
      <c r="E41" s="65"/>
      <c r="H41" s="8"/>
      <c r="J41" s="49"/>
      <c r="L41" s="26"/>
    </row>
    <row r="42" spans="2:12">
      <c r="D42" s="66" t="s">
        <v>94</v>
      </c>
      <c r="E42" s="65">
        <v>1</v>
      </c>
      <c r="F42" s="51"/>
      <c r="G42" s="3" t="s">
        <v>96</v>
      </c>
      <c r="H42" s="99"/>
      <c r="I42" s="3" t="s">
        <v>21</v>
      </c>
      <c r="J42" s="49">
        <f t="shared" si="3"/>
        <v>0</v>
      </c>
      <c r="L42" s="26"/>
    </row>
    <row r="43" spans="2:12">
      <c r="D43" s="66" t="s">
        <v>95</v>
      </c>
      <c r="E43" s="65">
        <v>1</v>
      </c>
      <c r="F43" s="51">
        <v>5000</v>
      </c>
      <c r="G43" s="3" t="s">
        <v>96</v>
      </c>
      <c r="H43" s="99">
        <v>1</v>
      </c>
      <c r="I43" s="3" t="s">
        <v>21</v>
      </c>
      <c r="J43" s="49">
        <f t="shared" si="3"/>
        <v>5000</v>
      </c>
      <c r="L43" s="26"/>
    </row>
    <row r="44" spans="2:12" ht="15" thickBot="1">
      <c r="B44" s="3" t="s">
        <v>68</v>
      </c>
      <c r="C44" s="67" t="s">
        <v>374</v>
      </c>
      <c r="D44" s="4"/>
      <c r="E44" s="65">
        <v>1</v>
      </c>
      <c r="F44" s="209">
        <v>1</v>
      </c>
      <c r="G44" s="4" t="s">
        <v>1</v>
      </c>
      <c r="H44" s="51">
        <v>2000</v>
      </c>
      <c r="I44" s="3" t="s">
        <v>37</v>
      </c>
      <c r="J44" s="49">
        <f t="shared" si="3"/>
        <v>2000</v>
      </c>
      <c r="L44" s="26"/>
    </row>
    <row r="45" spans="2:12" ht="15.75" thickBot="1">
      <c r="B45" s="41"/>
      <c r="C45" s="42" t="s">
        <v>101</v>
      </c>
      <c r="D45" s="43"/>
      <c r="E45" s="43"/>
      <c r="F45" s="44"/>
      <c r="G45" s="45"/>
      <c r="H45" s="44"/>
      <c r="I45" s="45"/>
      <c r="J45" s="46">
        <f>SUM(J12:J44)</f>
        <v>74060</v>
      </c>
      <c r="L45" s="26"/>
    </row>
    <row r="46" spans="2:12" ht="15.75" thickBot="1">
      <c r="B46" s="70" t="s">
        <v>103</v>
      </c>
      <c r="C46" s="71" t="s">
        <v>102</v>
      </c>
      <c r="D46" s="71"/>
      <c r="E46" s="72"/>
      <c r="F46" s="72"/>
      <c r="G46" s="72"/>
      <c r="H46" s="73"/>
      <c r="I46" s="72"/>
      <c r="J46" s="28">
        <f>J10-J45</f>
        <v>60940</v>
      </c>
      <c r="L46" s="26"/>
    </row>
    <row r="47" spans="2:12" ht="16.5" thickTop="1" thickBot="1">
      <c r="B47" s="70" t="s">
        <v>403</v>
      </c>
      <c r="C47" s="71" t="s">
        <v>418</v>
      </c>
      <c r="D47" s="71"/>
      <c r="E47" s="72"/>
      <c r="F47" s="72"/>
      <c r="G47" s="72"/>
      <c r="H47" s="73"/>
      <c r="I47" s="72"/>
      <c r="J47" s="28">
        <f>J10-J45+IF(J9&gt;100,CO224,IF(J9&lt;100,CD224,"0"))</f>
        <v>53856.11018394649</v>
      </c>
      <c r="L47" s="64"/>
    </row>
    <row r="48" spans="2:12" ht="15" thickTop="1"/>
    <row r="49" spans="2:8" ht="15.75" thickBot="1">
      <c r="C49" s="89" t="s">
        <v>252</v>
      </c>
      <c r="D49" s="90"/>
      <c r="E49" s="90"/>
      <c r="F49" s="90"/>
      <c r="G49" s="90"/>
      <c r="H49" s="90"/>
    </row>
    <row r="50" spans="2:8" ht="15" thickBot="1"/>
    <row r="51" spans="2:8" ht="15.75" thickTop="1">
      <c r="C51" s="74" t="s">
        <v>7</v>
      </c>
      <c r="D51" s="75"/>
      <c r="E51" s="75"/>
      <c r="F51" s="76" t="s">
        <v>107</v>
      </c>
    </row>
    <row r="52" spans="2:8">
      <c r="C52" s="53" t="s">
        <v>182</v>
      </c>
      <c r="F52" s="8">
        <f>J8</f>
        <v>127500</v>
      </c>
    </row>
    <row r="53" spans="2:8" ht="15" thickBot="1">
      <c r="C53" s="54" t="s">
        <v>115</v>
      </c>
      <c r="F53" s="8">
        <f>J9</f>
        <v>7500</v>
      </c>
    </row>
    <row r="54" spans="2:8" ht="15.75" thickBot="1">
      <c r="B54" s="55"/>
      <c r="C54" s="42" t="s">
        <v>46</v>
      </c>
      <c r="D54" s="43"/>
      <c r="E54" s="43"/>
      <c r="F54" s="56">
        <f>J10</f>
        <v>135000</v>
      </c>
    </row>
    <row r="55" spans="2:8" ht="15">
      <c r="B55" s="55"/>
      <c r="C55" s="29" t="s">
        <v>14</v>
      </c>
      <c r="F55" s="8"/>
    </row>
    <row r="56" spans="2:8">
      <c r="C56" s="54" t="s">
        <v>15</v>
      </c>
      <c r="F56" s="8">
        <f>J12</f>
        <v>10000</v>
      </c>
    </row>
    <row r="57" spans="2:8">
      <c r="C57" s="54" t="s">
        <v>106</v>
      </c>
      <c r="F57" s="8">
        <f>SUM(J14:J21)</f>
        <v>24400</v>
      </c>
    </row>
    <row r="58" spans="2:8">
      <c r="C58" s="54" t="s">
        <v>23</v>
      </c>
      <c r="F58" s="8">
        <f>SUM(J23:J28)</f>
        <v>200</v>
      </c>
    </row>
    <row r="59" spans="2:8">
      <c r="C59" s="54" t="s">
        <v>52</v>
      </c>
      <c r="F59" s="8">
        <f>J30</f>
        <v>2175</v>
      </c>
    </row>
    <row r="60" spans="2:8">
      <c r="C60" s="54" t="s">
        <v>54</v>
      </c>
      <c r="F60" s="8">
        <f>J31</f>
        <v>4350</v>
      </c>
    </row>
    <row r="61" spans="2:8">
      <c r="C61" s="54" t="s">
        <v>55</v>
      </c>
      <c r="F61" s="8">
        <f>J32</f>
        <v>1985.0000000000002</v>
      </c>
    </row>
    <row r="62" spans="2:8">
      <c r="C62" s="54" t="s">
        <v>58</v>
      </c>
      <c r="F62" s="8">
        <f>SUM(J34:J39)</f>
        <v>23200</v>
      </c>
    </row>
    <row r="63" spans="2:8">
      <c r="C63" s="54" t="s">
        <v>53</v>
      </c>
      <c r="F63" s="8">
        <f>J40</f>
        <v>750</v>
      </c>
    </row>
    <row r="64" spans="2:8">
      <c r="C64" s="54" t="s">
        <v>271</v>
      </c>
      <c r="F64" s="8">
        <f>SUM(J42:J43)</f>
        <v>5000</v>
      </c>
    </row>
    <row r="65" spans="3:6" ht="15" thickBot="1">
      <c r="C65" s="199" t="s">
        <v>374</v>
      </c>
      <c r="F65" s="8">
        <f>J44</f>
        <v>2000</v>
      </c>
    </row>
    <row r="66" spans="3:6" ht="15.75" thickBot="1">
      <c r="C66" s="42" t="s">
        <v>101</v>
      </c>
      <c r="D66" s="43"/>
      <c r="E66" s="43"/>
      <c r="F66" s="56">
        <f>SUM(F56:F65)</f>
        <v>74060</v>
      </c>
    </row>
    <row r="67" spans="3:6" ht="15.75" thickBot="1">
      <c r="C67" s="71" t="s">
        <v>42</v>
      </c>
      <c r="D67" s="72"/>
      <c r="E67" s="72"/>
      <c r="F67" s="77">
        <f>F54-F66</f>
        <v>60940</v>
      </c>
    </row>
    <row r="68" spans="3:6" ht="15.75" thickTop="1">
      <c r="C68" s="96"/>
      <c r="D68" s="97"/>
      <c r="E68" s="97"/>
      <c r="F68" s="63"/>
    </row>
    <row r="93" spans="4:10" ht="15.75" thickBot="1">
      <c r="D93" s="89" t="s">
        <v>187</v>
      </c>
      <c r="E93" s="90"/>
      <c r="F93" s="90"/>
      <c r="G93" s="90"/>
      <c r="H93" s="90"/>
      <c r="I93" s="90"/>
      <c r="J93" s="90"/>
    </row>
    <row r="95" spans="4:10" ht="15.75" thickBot="1">
      <c r="D95" s="12"/>
      <c r="E95" s="13"/>
      <c r="F95" s="14"/>
      <c r="G95" s="57"/>
      <c r="H95" s="57" t="s">
        <v>160</v>
      </c>
      <c r="I95" s="57"/>
      <c r="J95" s="79"/>
    </row>
    <row r="96" spans="4:10">
      <c r="D96" s="15"/>
      <c r="E96" s="16"/>
      <c r="F96" s="154">
        <v>-0.2</v>
      </c>
      <c r="G96" s="154">
        <v>-0.1</v>
      </c>
      <c r="H96" s="59" t="s">
        <v>110</v>
      </c>
      <c r="I96" s="154">
        <v>0.1</v>
      </c>
      <c r="J96" s="155">
        <v>0.2</v>
      </c>
    </row>
    <row r="97" spans="4:10" ht="15.75" thickBot="1">
      <c r="D97" s="60" t="s">
        <v>109</v>
      </c>
      <c r="E97" s="61"/>
      <c r="F97" s="92">
        <f>H97*(1+F96)</f>
        <v>13.600000000000001</v>
      </c>
      <c r="G97" s="92">
        <f>H97*(1+G96)</f>
        <v>15.3</v>
      </c>
      <c r="H97" s="92">
        <f>H8</f>
        <v>17</v>
      </c>
      <c r="I97" s="93">
        <f>$H$97*(1+I96)</f>
        <v>18.700000000000003</v>
      </c>
      <c r="J97" s="94">
        <f>$H$97*(1+J96)</f>
        <v>20.399999999999999</v>
      </c>
    </row>
    <row r="98" spans="4:10" ht="15">
      <c r="D98" s="152">
        <v>-0.2</v>
      </c>
      <c r="E98" s="62">
        <f>$E$100*(1+D98)</f>
        <v>6000</v>
      </c>
      <c r="F98" s="88">
        <f>$H$98-$E$98*($H$97-F97)</f>
        <v>7956.1101839464973</v>
      </c>
      <c r="G98" s="88">
        <f>$H$98-$E$98*($H$97-G97)</f>
        <v>18156.110183946494</v>
      </c>
      <c r="H98" s="88">
        <f>$H$100-($E$100-E98)*$H$97</f>
        <v>28356.11018394649</v>
      </c>
      <c r="I98" s="84">
        <f>$H$98+$E$98*(I97-$H$97)</f>
        <v>38556.110183946505</v>
      </c>
      <c r="J98" s="85">
        <f>$H$98+$E$98*(J97-$H$97)</f>
        <v>48756.110183946483</v>
      </c>
    </row>
    <row r="99" spans="4:10" ht="15">
      <c r="D99" s="152">
        <v>-0.1</v>
      </c>
      <c r="E99" s="62">
        <f>$E$100*(1+D99)</f>
        <v>6750</v>
      </c>
      <c r="F99" s="88">
        <f>$H$99-$E$99*($H$97-F97)</f>
        <v>18156.110183946501</v>
      </c>
      <c r="G99" s="88">
        <f>$H$99-$E$99*($H$97-G97)</f>
        <v>29631.110183946497</v>
      </c>
      <c r="H99" s="88">
        <f>$H$100-($E$100-E99)*$H$97</f>
        <v>41106.11018394649</v>
      </c>
      <c r="I99" s="88">
        <f>$H$99+$E$99*(I97-$H$97)</f>
        <v>52581.110183946512</v>
      </c>
      <c r="J99" s="91">
        <f>$H$99+$E$99*(J97-$H$97)</f>
        <v>64056.110183946483</v>
      </c>
    </row>
    <row r="100" spans="4:10" ht="15">
      <c r="D100" s="18" t="s">
        <v>43</v>
      </c>
      <c r="E100" s="62">
        <f>F8</f>
        <v>7500</v>
      </c>
      <c r="F100" s="88">
        <f>$H$100-$E$100*($H$97-F97)</f>
        <v>28356.110183946501</v>
      </c>
      <c r="G100" s="88">
        <f>$H$100-$E$100*($H$97-G97)</f>
        <v>41106.110183946497</v>
      </c>
      <c r="H100" s="63">
        <f>J47</f>
        <v>53856.11018394649</v>
      </c>
      <c r="I100" s="84">
        <f>$H$100+$E$100*(I97-$H$97)</f>
        <v>66606.110183946512</v>
      </c>
      <c r="J100" s="85">
        <f>$H$100+$E$100*(J97-$H$97)</f>
        <v>79356.110183946483</v>
      </c>
    </row>
    <row r="101" spans="4:10" ht="15">
      <c r="D101" s="152">
        <v>0.1</v>
      </c>
      <c r="E101" s="78">
        <f>$E$100*(1+D101)</f>
        <v>8250</v>
      </c>
      <c r="F101" s="84">
        <f>$H$101-$E$101*($H$97-F97)</f>
        <v>38556.110183946512</v>
      </c>
      <c r="G101" s="84">
        <f>$H$101-$E$101*($H$97-G97)</f>
        <v>52581.110183946505</v>
      </c>
      <c r="H101" s="88">
        <f>$H$100-($E$100-E101)*$H$97</f>
        <v>66606.110183946497</v>
      </c>
      <c r="I101" s="84">
        <f>$H$101+$E$101*(I97-$H$97)</f>
        <v>80631.110183946526</v>
      </c>
      <c r="J101" s="85">
        <f>$H$101+$E$101*(J97-$H$97)</f>
        <v>94656.110183946483</v>
      </c>
    </row>
    <row r="102" spans="4:10" ht="15">
      <c r="D102" s="153">
        <v>0.2</v>
      </c>
      <c r="E102" s="80">
        <f>$E$100*(1+D102)</f>
        <v>9000</v>
      </c>
      <c r="F102" s="86">
        <f>$H$102-$E$102*($H$97-F97)</f>
        <v>48756.110183946512</v>
      </c>
      <c r="G102" s="86">
        <f>$H$102-$E$102*($H$97-G97)</f>
        <v>64056.110183946505</v>
      </c>
      <c r="H102" s="95">
        <f>$H$100-($E$100-E102)*$H$97</f>
        <v>79356.110183946497</v>
      </c>
      <c r="I102" s="86">
        <f>$H$102+$E$102*(I97-$H$97)</f>
        <v>94656.110183946526</v>
      </c>
      <c r="J102" s="87">
        <f>$H$102+$E$102*(J97-$H$97)</f>
        <v>109956.11018394648</v>
      </c>
    </row>
    <row r="203" spans="81:107" ht="15.75">
      <c r="CC203" s="269" t="s">
        <v>375</v>
      </c>
      <c r="CD203" s="270"/>
      <c r="CE203" s="270"/>
      <c r="CF203" s="270"/>
      <c r="CG203" s="270"/>
      <c r="CH203" s="270"/>
      <c r="CI203" s="270"/>
      <c r="CJ203" s="270"/>
      <c r="CK203" s="270"/>
      <c r="CL203"/>
      <c r="CM203"/>
      <c r="CN203" s="271" t="s">
        <v>414</v>
      </c>
      <c r="CO203" s="272"/>
      <c r="CP203" s="272"/>
      <c r="CQ203" s="272"/>
      <c r="CR203" s="272"/>
      <c r="CS203" s="272"/>
      <c r="CT203" s="272"/>
      <c r="CU203" s="272"/>
      <c r="CV203" s="272"/>
      <c r="CZ203" s="298" t="s">
        <v>408</v>
      </c>
      <c r="DA203" s="300">
        <v>0.15</v>
      </c>
      <c r="DB203" s="300">
        <v>0.15</v>
      </c>
      <c r="DC203" s="300">
        <v>0.15</v>
      </c>
    </row>
    <row r="204" spans="81:107" ht="15.75">
      <c r="CC204" s="273" t="s">
        <v>376</v>
      </c>
      <c r="CD204" s="273" t="s">
        <v>377</v>
      </c>
      <c r="CE204" s="273" t="s">
        <v>378</v>
      </c>
      <c r="CF204" s="274" t="s">
        <v>379</v>
      </c>
      <c r="CG204" s="274"/>
      <c r="CH204" s="274"/>
      <c r="CI204" s="274" t="s">
        <v>380</v>
      </c>
      <c r="CJ204" s="274"/>
      <c r="CK204" s="275"/>
      <c r="CL204"/>
      <c r="CM204"/>
      <c r="CN204" s="273" t="s">
        <v>376</v>
      </c>
      <c r="CO204" s="273" t="s">
        <v>377</v>
      </c>
      <c r="CP204" s="273" t="s">
        <v>378</v>
      </c>
      <c r="CQ204" s="274" t="s">
        <v>379</v>
      </c>
      <c r="CR204" s="274"/>
      <c r="CS204" s="274"/>
      <c r="CT204" s="274" t="s">
        <v>380</v>
      </c>
      <c r="CU204" s="274"/>
      <c r="CV204" s="275"/>
      <c r="CZ204" s="298" t="s">
        <v>399</v>
      </c>
      <c r="DA204" s="300">
        <v>0.16</v>
      </c>
      <c r="DB204" s="300">
        <v>0.16</v>
      </c>
      <c r="DC204" s="300">
        <v>0.16</v>
      </c>
    </row>
    <row r="205" spans="81:107" ht="18">
      <c r="CC205"/>
      <c r="CD205"/>
      <c r="CE205"/>
      <c r="CF205" s="276" t="s">
        <v>381</v>
      </c>
      <c r="CG205" s="276" t="s">
        <v>382</v>
      </c>
      <c r="CH205" s="276" t="s">
        <v>383</v>
      </c>
      <c r="CI205" s="276" t="s">
        <v>381</v>
      </c>
      <c r="CJ205" s="276" t="s">
        <v>382</v>
      </c>
      <c r="CK205" s="276" t="s">
        <v>383</v>
      </c>
      <c r="CL205"/>
      <c r="CM205"/>
      <c r="CN205"/>
      <c r="CO205"/>
      <c r="CP205"/>
      <c r="CQ205" s="276" t="s">
        <v>381</v>
      </c>
      <c r="CR205" s="276" t="s">
        <v>382</v>
      </c>
      <c r="CS205" s="276" t="s">
        <v>383</v>
      </c>
      <c r="CT205" s="276" t="s">
        <v>381</v>
      </c>
      <c r="CU205" s="276" t="s">
        <v>382</v>
      </c>
      <c r="CV205" s="276" t="s">
        <v>383</v>
      </c>
      <c r="CZ205" s="298" t="s">
        <v>407</v>
      </c>
      <c r="DA205" s="300">
        <v>0.06</v>
      </c>
      <c r="DB205" s="300">
        <v>0.12</v>
      </c>
      <c r="DC205" s="300">
        <v>0.24</v>
      </c>
    </row>
    <row r="206" spans="81:107">
      <c r="CC206" t="str">
        <f>+D15</f>
        <v>NPK 15:15:15</v>
      </c>
      <c r="CD206" s="21">
        <f>+F15</f>
        <v>300</v>
      </c>
      <c r="CE206" t="s">
        <v>20</v>
      </c>
      <c r="CF206" s="304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G206" s="304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H206" s="304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I206">
        <f>$CD206*CF206</f>
        <v>45</v>
      </c>
      <c r="CJ206">
        <f t="shared" ref="CJ206:CK212" si="4">$CD206*CG206</f>
        <v>45</v>
      </c>
      <c r="CK206">
        <f t="shared" si="4"/>
        <v>45</v>
      </c>
      <c r="CL206"/>
      <c r="CM206"/>
      <c r="CN206" s="1" t="str">
        <f>D15</f>
        <v>NPK 15:15:15</v>
      </c>
      <c r="CO206" s="21">
        <f>+F15</f>
        <v>300</v>
      </c>
      <c r="CP206" t="s">
        <v>20</v>
      </c>
      <c r="CQ206" s="304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R206" s="304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S206" s="304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T206">
        <f>CO206*CQ206</f>
        <v>45</v>
      </c>
      <c r="CU206">
        <f>CO206*CR206</f>
        <v>45</v>
      </c>
      <c r="CV206">
        <f>CO206*CS206</f>
        <v>45</v>
      </c>
      <c r="CZ206" s="299" t="s">
        <v>412</v>
      </c>
      <c r="DA206" s="301">
        <v>0.11</v>
      </c>
      <c r="DB206" s="301">
        <v>0.52</v>
      </c>
      <c r="DC206" s="301">
        <v>0</v>
      </c>
    </row>
    <row r="207" spans="81:107">
      <c r="CC207" t="str">
        <f t="shared" ref="CC207:CC212" si="5">+D16</f>
        <v>UREA 46:0:0</v>
      </c>
      <c r="CD207" s="21">
        <f t="shared" ref="CD207:CD212" si="6">+F16</f>
        <v>100</v>
      </c>
      <c r="CE207" t="s">
        <v>20</v>
      </c>
      <c r="CF207" s="304">
        <f t="shared" ref="CF207:CF210" si="7">IF($CC207=$CZ$203,$DA$203,IF($CC207=$CZ$204,$DA$204,IF($CC207=$CZ$205,$DA$205,IF($CC207=CZ$206,$DA$206, IF($CC207=CZ$207,$DA$207,IF($CC207=$CZ$208,$DA$208,IF($CC207=$CZ$209,$DA$209,IF($CC207=$CZ$210,$DA$210,"0%"))))))))</f>
        <v>0.46</v>
      </c>
      <c r="CG207" s="304">
        <f t="shared" ref="CG207:CG210" si="8">IF($CC207=$CZ$203,$DB$203,IF($CC207=$CZ$204,$DB$204,IF($CC207=$CZ$205,$DB$205,IF($CC207=$CZ$206,$DB$206, IF($CC207=$CZ$207,$DB$207,IF($CC207=$CZ$208,$DB$208,IF($CC207=$CZ$209,$DB$209,IF($CC207=$CZ$210,$DB$210,"0%"))))))))</f>
        <v>0</v>
      </c>
      <c r="CH207" s="304">
        <f t="shared" ref="CH207:CH210" si="9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46</v>
      </c>
      <c r="CJ207">
        <f t="shared" si="4"/>
        <v>0</v>
      </c>
      <c r="CK207">
        <f t="shared" si="4"/>
        <v>0</v>
      </c>
      <c r="CL207"/>
      <c r="CM207"/>
      <c r="CN207" s="1" t="str">
        <f t="shared" ref="CN207:CN212" si="10">D16</f>
        <v>UREA 46:0:0</v>
      </c>
      <c r="CO207" s="21">
        <f t="shared" ref="CO207:CO212" si="11">+F16</f>
        <v>100</v>
      </c>
      <c r="CP207" t="s">
        <v>20</v>
      </c>
      <c r="CQ207" s="304">
        <f t="shared" ref="CQ207:CQ210" si="12">IF($CC207=$CZ$203,$DA$203,IF($CC207=$CZ$204,$DA$204,IF($CC207=$CZ$205,$DA$205,IF($CC207=$CZ$206,$DA$206, IF($CC207=$CZ$207,$DA$207,IF($CC207=$CZ$208,$DA$208,IF($CC207=$CZ$209,$DA$209,IF($CC207=$CZ$210,$DA$210,"0%"))))))))</f>
        <v>0.46</v>
      </c>
      <c r="CR207" s="304">
        <f t="shared" ref="CR207:CR210" si="13">IF($CC207=$CZ$203,$DB$203,IF($CC207=$CZ$204,$DB$204,IF($CC207=$CZ$205,$DB$205,IF($CC207=$CZ$206,$DB$206, IF($CC207=$CZ$207,$DB$207,IF($CC207=$CZ$208,$DB$208,IF($CC207=$CZ$209,$DB$209,IF($CC207=$CZ$210,$DB$210,"0%"))))))))</f>
        <v>0</v>
      </c>
      <c r="CS207" s="304">
        <f t="shared" ref="CS207:CS210" si="14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5">CO207*CQ207</f>
        <v>46</v>
      </c>
      <c r="CU207">
        <f t="shared" ref="CU207:CU212" si="16">CO207*CR207</f>
        <v>0</v>
      </c>
      <c r="CV207">
        <f t="shared" ref="CV207:CV212" si="17">CO207*CS207</f>
        <v>0</v>
      </c>
      <c r="CZ207" s="299" t="s">
        <v>413</v>
      </c>
      <c r="DA207" s="301">
        <v>0.12</v>
      </c>
      <c r="DB207" s="301">
        <v>0.52</v>
      </c>
      <c r="DC207" s="301">
        <v>0</v>
      </c>
    </row>
    <row r="208" spans="81:107">
      <c r="CC208" t="str">
        <f t="shared" si="5"/>
        <v>AN 33,5:0:0</v>
      </c>
      <c r="CD208" s="21">
        <f t="shared" si="6"/>
        <v>100</v>
      </c>
      <c r="CE208" t="s">
        <v>20</v>
      </c>
      <c r="CF208" s="304">
        <f t="shared" si="7"/>
        <v>0.33500000000000002</v>
      </c>
      <c r="CG208" s="304">
        <f t="shared" si="8"/>
        <v>0</v>
      </c>
      <c r="CH208" s="304">
        <f t="shared" si="9"/>
        <v>0</v>
      </c>
      <c r="CI208">
        <f t="shared" ref="CI208:CI212" si="18">$CD208*CF208</f>
        <v>33.5</v>
      </c>
      <c r="CJ208">
        <f t="shared" si="4"/>
        <v>0</v>
      </c>
      <c r="CK208">
        <f t="shared" si="4"/>
        <v>0</v>
      </c>
      <c r="CL208"/>
      <c r="CM208"/>
      <c r="CN208" s="1" t="str">
        <f t="shared" si="10"/>
        <v>AN 33,5:0:0</v>
      </c>
      <c r="CO208" s="21">
        <f t="shared" si="11"/>
        <v>100</v>
      </c>
      <c r="CP208" t="s">
        <v>20</v>
      </c>
      <c r="CQ208" s="304">
        <f t="shared" si="12"/>
        <v>0.33500000000000002</v>
      </c>
      <c r="CR208" s="304">
        <f t="shared" si="13"/>
        <v>0</v>
      </c>
      <c r="CS208" s="304">
        <f t="shared" si="14"/>
        <v>0</v>
      </c>
      <c r="CT208">
        <f t="shared" si="15"/>
        <v>33.5</v>
      </c>
      <c r="CU208">
        <f t="shared" si="16"/>
        <v>0</v>
      </c>
      <c r="CV208">
        <f t="shared" si="17"/>
        <v>0</v>
      </c>
      <c r="CZ208" s="298" t="s">
        <v>409</v>
      </c>
      <c r="DA208" s="301">
        <v>0.46</v>
      </c>
      <c r="DB208" s="301">
        <v>0</v>
      </c>
      <c r="DC208" s="301">
        <v>0</v>
      </c>
    </row>
    <row r="209" spans="81:107">
      <c r="CC209">
        <f t="shared" si="5"/>
        <v>0</v>
      </c>
      <c r="CD209" s="21">
        <f t="shared" si="6"/>
        <v>0</v>
      </c>
      <c r="CE209" t="s">
        <v>20</v>
      </c>
      <c r="CF209" s="304" t="str">
        <f t="shared" si="7"/>
        <v>0%</v>
      </c>
      <c r="CG209" s="304" t="str">
        <f t="shared" si="8"/>
        <v>0%</v>
      </c>
      <c r="CH209" s="304" t="str">
        <f t="shared" si="9"/>
        <v>0%</v>
      </c>
      <c r="CI209">
        <f t="shared" si="18"/>
        <v>0</v>
      </c>
      <c r="CJ209">
        <f t="shared" si="4"/>
        <v>0</v>
      </c>
      <c r="CK209">
        <f t="shared" si="4"/>
        <v>0</v>
      </c>
      <c r="CL209"/>
      <c r="CM209"/>
      <c r="CN209" s="1">
        <f t="shared" si="10"/>
        <v>0</v>
      </c>
      <c r="CO209" s="21">
        <f t="shared" si="11"/>
        <v>0</v>
      </c>
      <c r="CP209" t="s">
        <v>20</v>
      </c>
      <c r="CQ209" s="304" t="str">
        <f t="shared" si="12"/>
        <v>0%</v>
      </c>
      <c r="CR209" s="304" t="str">
        <f t="shared" si="13"/>
        <v>0%</v>
      </c>
      <c r="CS209" s="304" t="str">
        <f t="shared" si="14"/>
        <v>0%</v>
      </c>
      <c r="CT209">
        <f t="shared" si="15"/>
        <v>0</v>
      </c>
      <c r="CU209">
        <f t="shared" si="16"/>
        <v>0</v>
      </c>
      <c r="CV209">
        <f t="shared" si="17"/>
        <v>0</v>
      </c>
      <c r="CZ209" s="298" t="s">
        <v>410</v>
      </c>
      <c r="DA209" s="301">
        <v>0.27</v>
      </c>
      <c r="DB209" s="301">
        <v>0</v>
      </c>
      <c r="DC209" s="301">
        <v>0</v>
      </c>
    </row>
    <row r="210" spans="81:107">
      <c r="CC210">
        <f t="shared" si="5"/>
        <v>0</v>
      </c>
      <c r="CD210" s="21">
        <f t="shared" si="6"/>
        <v>0</v>
      </c>
      <c r="CE210" t="s">
        <v>20</v>
      </c>
      <c r="CF210" s="304" t="str">
        <f t="shared" si="7"/>
        <v>0%</v>
      </c>
      <c r="CG210" s="304" t="str">
        <f t="shared" si="8"/>
        <v>0%</v>
      </c>
      <c r="CH210" s="304" t="str">
        <f t="shared" si="9"/>
        <v>0%</v>
      </c>
      <c r="CI210">
        <f t="shared" si="18"/>
        <v>0</v>
      </c>
      <c r="CJ210">
        <f t="shared" si="4"/>
        <v>0</v>
      </c>
      <c r="CK210">
        <f t="shared" si="4"/>
        <v>0</v>
      </c>
      <c r="CL210"/>
      <c r="CM210"/>
      <c r="CN210" s="1">
        <f t="shared" si="10"/>
        <v>0</v>
      </c>
      <c r="CO210" s="21">
        <f t="shared" si="11"/>
        <v>0</v>
      </c>
      <c r="CP210" t="s">
        <v>20</v>
      </c>
      <c r="CQ210" s="304" t="str">
        <f t="shared" si="12"/>
        <v>0%</v>
      </c>
      <c r="CR210" s="304" t="str">
        <f t="shared" si="13"/>
        <v>0%</v>
      </c>
      <c r="CS210" s="304" t="str">
        <f t="shared" si="14"/>
        <v>0%</v>
      </c>
      <c r="CT210">
        <f t="shared" si="15"/>
        <v>0</v>
      </c>
      <c r="CU210">
        <f t="shared" si="16"/>
        <v>0</v>
      </c>
      <c r="CV210">
        <f t="shared" si="17"/>
        <v>0</v>
      </c>
      <c r="CZ210" s="299" t="s">
        <v>411</v>
      </c>
      <c r="DA210" s="302">
        <v>0.33500000000000002</v>
      </c>
      <c r="DB210" s="301">
        <v>0</v>
      </c>
      <c r="DC210" s="301">
        <v>0</v>
      </c>
    </row>
    <row r="211" spans="81:107">
      <c r="CC211">
        <f t="shared" si="5"/>
        <v>0</v>
      </c>
      <c r="CD211" s="21">
        <f t="shared" si="6"/>
        <v>0</v>
      </c>
      <c r="CE211" t="s">
        <v>20</v>
      </c>
      <c r="CF211" s="304">
        <f t="shared" ref="CF211:CH212" si="19">+P20</f>
        <v>0</v>
      </c>
      <c r="CG211" s="304">
        <f t="shared" si="19"/>
        <v>0.2</v>
      </c>
      <c r="CH211" s="304">
        <f t="shared" si="19"/>
        <v>0.2</v>
      </c>
      <c r="CI211">
        <f t="shared" si="18"/>
        <v>0</v>
      </c>
      <c r="CJ211">
        <f t="shared" si="4"/>
        <v>0</v>
      </c>
      <c r="CK211">
        <f t="shared" si="4"/>
        <v>0</v>
      </c>
      <c r="CL211"/>
      <c r="CM211"/>
      <c r="CN211" s="1">
        <f t="shared" si="10"/>
        <v>0</v>
      </c>
      <c r="CO211" s="21">
        <f t="shared" si="11"/>
        <v>0</v>
      </c>
      <c r="CP211" t="s">
        <v>20</v>
      </c>
      <c r="CQ211" s="278">
        <f t="shared" ref="CQ211:CS212" si="20">+P20</f>
        <v>0</v>
      </c>
      <c r="CR211" s="278">
        <f t="shared" si="20"/>
        <v>0.2</v>
      </c>
      <c r="CS211" s="278">
        <f t="shared" si="20"/>
        <v>0.2</v>
      </c>
      <c r="CT211">
        <f t="shared" si="15"/>
        <v>0</v>
      </c>
      <c r="CU211">
        <f t="shared" si="16"/>
        <v>0</v>
      </c>
      <c r="CV211">
        <f t="shared" si="17"/>
        <v>0</v>
      </c>
    </row>
    <row r="212" spans="81:107">
      <c r="CC212">
        <f t="shared" si="5"/>
        <v>0</v>
      </c>
      <c r="CD212" s="21">
        <f t="shared" si="6"/>
        <v>0</v>
      </c>
      <c r="CE212" t="s">
        <v>20</v>
      </c>
      <c r="CF212" s="304">
        <f t="shared" si="19"/>
        <v>0</v>
      </c>
      <c r="CG212" s="304">
        <f t="shared" si="19"/>
        <v>0</v>
      </c>
      <c r="CH212" s="304">
        <f t="shared" si="19"/>
        <v>0</v>
      </c>
      <c r="CI212">
        <f t="shared" si="18"/>
        <v>0</v>
      </c>
      <c r="CJ212">
        <f t="shared" si="4"/>
        <v>0</v>
      </c>
      <c r="CK212">
        <f t="shared" si="4"/>
        <v>0</v>
      </c>
      <c r="CL212"/>
      <c r="CM212"/>
      <c r="CN212" s="1">
        <f t="shared" si="10"/>
        <v>0</v>
      </c>
      <c r="CO212" s="21">
        <f t="shared" si="11"/>
        <v>0</v>
      </c>
      <c r="CP212" t="s">
        <v>20</v>
      </c>
      <c r="CQ212" s="278">
        <f t="shared" si="20"/>
        <v>0</v>
      </c>
      <c r="CR212" s="278">
        <f t="shared" si="20"/>
        <v>0</v>
      </c>
      <c r="CS212" s="278">
        <f t="shared" si="20"/>
        <v>0</v>
      </c>
      <c r="CT212">
        <f t="shared" si="15"/>
        <v>0</v>
      </c>
      <c r="CU212">
        <f t="shared" si="16"/>
        <v>0</v>
      </c>
      <c r="CV212">
        <f t="shared" si="17"/>
        <v>0</v>
      </c>
    </row>
    <row r="213" spans="81:107">
      <c r="CC213" t="s">
        <v>384</v>
      </c>
      <c r="CD213" s="21">
        <f>+F14/1000</f>
        <v>20</v>
      </c>
      <c r="CE213" t="s">
        <v>2</v>
      </c>
      <c r="CF213" s="310">
        <v>6.4999999999999997E-3</v>
      </c>
      <c r="CG213" s="279">
        <v>3.0000000000000001E-3</v>
      </c>
      <c r="CH213" s="279">
        <v>6.0000000000000001E-3</v>
      </c>
      <c r="CI213">
        <f>CD213*CF213*1000*IF(CD214=1,50%,IF(CD214=2,30%,IF(CD214=3,20%,IF(CD214&gt;3,0))))</f>
        <v>26</v>
      </c>
      <c r="CJ213">
        <f>CD213*CG213*1000*IF(CD214=1,50%,IF(CD214=2,30%,IF(CD214=3,20%,IF(CD214&gt;3,0))))</f>
        <v>12</v>
      </c>
      <c r="CK213">
        <f>CD213*CH213*1000*IF(CD214=1,50%,IF(CD214=2,30%,IF(CD214=3,20%,IF(CD214&gt;3,0))))</f>
        <v>24</v>
      </c>
      <c r="CL213"/>
      <c r="CM213"/>
      <c r="CN213" t="s">
        <v>384</v>
      </c>
      <c r="CO213" s="21">
        <f>+F14/1000</f>
        <v>20</v>
      </c>
      <c r="CP213" t="s">
        <v>2</v>
      </c>
      <c r="CQ213" s="310">
        <v>6.4999999999999997E-3</v>
      </c>
      <c r="CR213" s="279">
        <v>3.0000000000000001E-3</v>
      </c>
      <c r="CS213" s="279">
        <v>6.0000000000000001E-3</v>
      </c>
      <c r="CT213">
        <f>CO213*CQ213*1000*IF(CO214=1,50%,IF(CO214=2,30%,IF(CO214=3,20%,IF(CO214&gt;3,0))))</f>
        <v>26</v>
      </c>
      <c r="CU213">
        <f>CO213*CR213*1000*IF(CO214=1,50%,IF(CO214=2,30%,IF(CO214=3,20%,IF(CO214&gt;3,0))))</f>
        <v>12</v>
      </c>
      <c r="CV213">
        <f>CO213*CS213*1000*IF(CO214=1,50%,IF(CO214=2,30%,IF(CO214=3,20%,IF(CO214&gt;3,0))))</f>
        <v>24</v>
      </c>
    </row>
    <row r="214" spans="81:107">
      <c r="CC214" t="s">
        <v>385</v>
      </c>
      <c r="CD214" s="306">
        <f>+E14</f>
        <v>3</v>
      </c>
      <c r="CE214" s="280" t="s">
        <v>386</v>
      </c>
      <c r="CF214"/>
      <c r="CG214"/>
      <c r="CH214"/>
      <c r="CI214"/>
      <c r="CJ214"/>
      <c r="CK214"/>
      <c r="CL214"/>
      <c r="CM214"/>
      <c r="CN214" t="s">
        <v>385</v>
      </c>
      <c r="CO214" s="306">
        <f>+E14</f>
        <v>3</v>
      </c>
      <c r="CP214" s="280" t="s">
        <v>386</v>
      </c>
      <c r="CQ214"/>
      <c r="CR214"/>
      <c r="CS214"/>
      <c r="CT214"/>
      <c r="CU214"/>
      <c r="CV214"/>
    </row>
    <row r="215" spans="81:107">
      <c r="CC215" t="s">
        <v>76</v>
      </c>
      <c r="CD215"/>
      <c r="CE215"/>
      <c r="CF215"/>
      <c r="CG215"/>
      <c r="CH215"/>
      <c r="CI215">
        <f>SUM(CI206:CI214)</f>
        <v>150.5</v>
      </c>
      <c r="CJ215">
        <f>SUM(CJ206:CJ214)</f>
        <v>57</v>
      </c>
      <c r="CK215">
        <f>SUM(CK206:CK214)</f>
        <v>69</v>
      </c>
      <c r="CL215"/>
      <c r="CM215"/>
      <c r="CN215" t="s">
        <v>76</v>
      </c>
      <c r="CO215"/>
      <c r="CP215"/>
      <c r="CQ215"/>
      <c r="CR215"/>
      <c r="CS215"/>
      <c r="CT215">
        <f>SUM(CT206:CT214)</f>
        <v>150.5</v>
      </c>
      <c r="CU215">
        <f>SUM(CU206:CU214)</f>
        <v>57</v>
      </c>
      <c r="CV215">
        <f>SUM(CV206:CV214)</f>
        <v>69</v>
      </c>
    </row>
    <row r="216" spans="81:107">
      <c r="CC216" s="311" t="s">
        <v>438</v>
      </c>
      <c r="CD216" s="281">
        <f>+F8/1000</f>
        <v>7.5</v>
      </c>
      <c r="CE216" t="s">
        <v>2</v>
      </c>
      <c r="CF216"/>
      <c r="CG216"/>
      <c r="CH216"/>
      <c r="CI216"/>
      <c r="CJ216"/>
      <c r="CK216"/>
      <c r="CL216"/>
      <c r="CM216"/>
      <c r="CN216" s="311" t="s">
        <v>438</v>
      </c>
      <c r="CO216" s="282">
        <f>+CD216</f>
        <v>7.5</v>
      </c>
      <c r="CP216" t="s">
        <v>2</v>
      </c>
      <c r="CQ216"/>
      <c r="CR216"/>
      <c r="CS216"/>
      <c r="CT216"/>
      <c r="CU216"/>
      <c r="CV216"/>
    </row>
    <row r="217" spans="81:107">
      <c r="CC217" s="311" t="s">
        <v>423</v>
      </c>
      <c r="CD217"/>
      <c r="CE217" t="s">
        <v>390</v>
      </c>
      <c r="CF217"/>
      <c r="CG217"/>
      <c r="CH217"/>
      <c r="CI217" s="283">
        <v>19.3</v>
      </c>
      <c r="CJ217" s="283">
        <v>9.4</v>
      </c>
      <c r="CK217" s="283">
        <v>6.3</v>
      </c>
      <c r="CL217"/>
      <c r="CM217"/>
      <c r="CN217" s="311" t="s">
        <v>423</v>
      </c>
      <c r="CO217"/>
      <c r="CP217" t="s">
        <v>390</v>
      </c>
      <c r="CQ217"/>
      <c r="CR217"/>
      <c r="CS217"/>
      <c r="CT217" s="283">
        <v>27.5</v>
      </c>
      <c r="CU217" s="283">
        <v>12.5</v>
      </c>
      <c r="CV217" s="283">
        <v>21</v>
      </c>
    </row>
    <row r="218" spans="81:107" ht="15" thickBot="1">
      <c r="CC218" s="311" t="s">
        <v>423</v>
      </c>
      <c r="CD218"/>
      <c r="CE218" t="s">
        <v>20</v>
      </c>
      <c r="CF218"/>
      <c r="CG218"/>
      <c r="CH218"/>
      <c r="CI218">
        <f>CD216*CI217</f>
        <v>144.75</v>
      </c>
      <c r="CJ218">
        <f>CD216*CJ217</f>
        <v>70.5</v>
      </c>
      <c r="CK218">
        <f>CD216*CK217</f>
        <v>47.25</v>
      </c>
      <c r="CL218"/>
      <c r="CM218"/>
      <c r="CN218" s="311" t="s">
        <v>423</v>
      </c>
      <c r="CO218"/>
      <c r="CP218" t="s">
        <v>20</v>
      </c>
      <c r="CQ218"/>
      <c r="CR218"/>
      <c r="CS218"/>
      <c r="CT218">
        <f>CO216*CT217</f>
        <v>206.25</v>
      </c>
      <c r="CU218">
        <f>CO216*CU217</f>
        <v>93.75</v>
      </c>
      <c r="CV218">
        <f>CO216*CV217</f>
        <v>157.5</v>
      </c>
    </row>
    <row r="219" spans="81:107" ht="16.5" thickTop="1" thickBot="1">
      <c r="CC219" s="284" t="s">
        <v>391</v>
      </c>
      <c r="CD219" s="285"/>
      <c r="CE219" s="285" t="s">
        <v>20</v>
      </c>
      <c r="CF219" s="285"/>
      <c r="CG219" s="285"/>
      <c r="CH219" s="285"/>
      <c r="CI219" s="286">
        <f>SUM(CI215:CI215)-CI218</f>
        <v>5.75</v>
      </c>
      <c r="CJ219" s="287">
        <f>CJ215-CJ218</f>
        <v>-13.5</v>
      </c>
      <c r="CK219" s="288">
        <f>CK215-CK218</f>
        <v>21.75</v>
      </c>
      <c r="CL219"/>
      <c r="CM219"/>
      <c r="CN219" s="284" t="s">
        <v>391</v>
      </c>
      <c r="CO219" s="285"/>
      <c r="CP219" s="285" t="s">
        <v>20</v>
      </c>
      <c r="CQ219" s="285"/>
      <c r="CR219" s="285"/>
      <c r="CS219" s="285"/>
      <c r="CT219" s="285">
        <f>SUM(CT215:CT215)-CT218</f>
        <v>-55.75</v>
      </c>
      <c r="CU219" s="288">
        <f>CU215-CU218</f>
        <v>-36.75</v>
      </c>
      <c r="CV219" s="288">
        <f>CV215-CV218</f>
        <v>-88.5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303">
        <f>+Inputi!D8</f>
        <v>73.91304347826086</v>
      </c>
      <c r="CJ221" s="303">
        <f>+Inputi!E8</f>
        <v>90.168896321070235</v>
      </c>
      <c r="CK221" s="303">
        <f>+Inputi!F8</f>
        <v>42.600936454849503</v>
      </c>
      <c r="CL221"/>
      <c r="CM221"/>
      <c r="CN221" t="s">
        <v>5</v>
      </c>
      <c r="CO221"/>
      <c r="CP221"/>
      <c r="CQ221"/>
      <c r="CR221"/>
      <c r="CS221"/>
      <c r="CT221" s="303">
        <f>+Inputi!D8</f>
        <v>73.91304347826086</v>
      </c>
      <c r="CU221" s="303">
        <f>+Inputi!E8</f>
        <v>90.168896321070235</v>
      </c>
      <c r="CV221" s="303">
        <f>+Inputi!F8</f>
        <v>42.600936454849503</v>
      </c>
    </row>
    <row r="222" spans="81:107" ht="15">
      <c r="CC222" s="276" t="s">
        <v>392</v>
      </c>
      <c r="CD222" s="289">
        <f>SUMPRODUCT(CI221:CK221,CI215:CK215)</f>
        <v>19203.00474916388</v>
      </c>
      <c r="CE222"/>
      <c r="CF222"/>
      <c r="CG222"/>
      <c r="CH222"/>
      <c r="CI222"/>
      <c r="CJ222"/>
      <c r="CK222"/>
      <c r="CL222"/>
      <c r="CM222"/>
      <c r="CN222" s="276" t="s">
        <v>392</v>
      </c>
      <c r="CO222" s="289">
        <f>SUMPRODUCT(CT221:CV221,CT215:CV215)</f>
        <v>19203.00474916388</v>
      </c>
      <c r="CP222"/>
      <c r="CQ222"/>
      <c r="CR222"/>
      <c r="CS222"/>
      <c r="CT222"/>
      <c r="CU222"/>
      <c r="CV222"/>
    </row>
    <row r="223" spans="81:107" ht="15.75">
      <c r="CC223" s="290" t="s">
        <v>393</v>
      </c>
      <c r="CD223" s="291">
        <f>CI218*CI221+CJ218*CJ221+CK218*CK221</f>
        <v>19068.714481605351</v>
      </c>
      <c r="CE223"/>
      <c r="CF223"/>
      <c r="CG223"/>
      <c r="CH223"/>
      <c r="CI223"/>
      <c r="CJ223"/>
      <c r="CK223"/>
      <c r="CL223"/>
      <c r="CM223"/>
      <c r="CN223" s="290" t="s">
        <v>393</v>
      </c>
      <c r="CO223" s="291">
        <f>CT218*CT221+CU218*CU221+CV218*CV221</f>
        <v>30407.546739130434</v>
      </c>
      <c r="CP223"/>
      <c r="CQ223"/>
      <c r="CR223"/>
      <c r="CS223"/>
      <c r="CT223"/>
      <c r="CU223"/>
      <c r="CV223"/>
    </row>
    <row r="224" spans="81:107" ht="30">
      <c r="CC224" s="309" t="s">
        <v>394</v>
      </c>
      <c r="CD224" s="292">
        <f>CJ219*CJ221+CK219*CK221</f>
        <v>-290.70973244147149</v>
      </c>
      <c r="CE224"/>
      <c r="CF224"/>
      <c r="CG224"/>
      <c r="CH224"/>
      <c r="CI224"/>
      <c r="CJ224"/>
      <c r="CK224"/>
      <c r="CL224"/>
      <c r="CM224"/>
      <c r="CN224" s="309" t="s">
        <v>394</v>
      </c>
      <c r="CO224" s="292">
        <f>CU219*CU221+CV219*CV221</f>
        <v>-7083.8898160535118</v>
      </c>
      <c r="CP224"/>
      <c r="CQ224"/>
      <c r="CR224"/>
      <c r="CS224"/>
      <c r="CT224"/>
      <c r="CU224"/>
      <c r="CV224"/>
    </row>
  </sheetData>
  <sheetProtection password="B310" sheet="1" objects="1" scenarios="1"/>
  <protectedRanges>
    <protectedRange sqref="P20:R21" name="Range9"/>
    <protectedRange sqref="L4:L46" name="Range8"/>
    <protectedRange sqref="F4" name="Range1"/>
    <protectedRange sqref="F8:I9" name="Range2"/>
    <protectedRange sqref="D12:I44" name="Range3"/>
    <protectedRange sqref="F96:G96" name="Range4"/>
    <protectedRange sqref="I96:J96" name="Range5"/>
    <protectedRange sqref="D98:D99" name="Range6"/>
    <protectedRange sqref="D101:D102" name="Range7"/>
  </protectedRanges>
  <conditionalFormatting sqref="P5">
    <cfRule type="cellIs" dxfId="41" priority="6" operator="lessThan">
      <formula>0</formula>
    </cfRule>
  </conditionalFormatting>
  <conditionalFormatting sqref="Q5">
    <cfRule type="cellIs" dxfId="40" priority="5" operator="lessThan">
      <formula>0</formula>
    </cfRule>
  </conditionalFormatting>
  <conditionalFormatting sqref="R5">
    <cfRule type="cellIs" dxfId="39" priority="4" operator="lessThan">
      <formula>0</formula>
    </cfRule>
  </conditionalFormatting>
  <conditionalFormatting sqref="P7">
    <cfRule type="cellIs" dxfId="38" priority="3" operator="lessThan">
      <formula>0</formula>
    </cfRule>
  </conditionalFormatting>
  <conditionalFormatting sqref="Q7">
    <cfRule type="cellIs" dxfId="37" priority="2" operator="lessThan">
      <formula>0</formula>
    </cfRule>
  </conditionalFormatting>
  <conditionalFormatting sqref="R7">
    <cfRule type="cellIs" dxfId="36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verticalDpi="0" r:id="rId1"/>
  <rowBreaks count="1" manualBreakCount="1">
    <brk id="48" max="9" man="1"/>
  </rowBreaks>
  <ignoredErrors>
    <ignoredError sqref="E100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1:DC226"/>
  <sheetViews>
    <sheetView zoomScale="120" zoomScaleNormal="120" zoomScaleSheetLayoutView="100" workbookViewId="0">
      <selection activeCell="H10" sqref="H10"/>
    </sheetView>
  </sheetViews>
  <sheetFormatPr defaultRowHeight="14.25"/>
  <cols>
    <col min="1" max="1" width="2.7109375" style="3" customWidth="1"/>
    <col min="2" max="2" width="3.5703125" style="3" bestFit="1" customWidth="1"/>
    <col min="3" max="3" width="6.7109375" style="3" customWidth="1"/>
    <col min="4" max="4" width="21.28515625" style="3" customWidth="1"/>
    <col min="5" max="5" width="6.7109375" style="3" customWidth="1"/>
    <col min="6" max="6" width="12" style="3" customWidth="1"/>
    <col min="7" max="7" width="8.85546875" style="3" customWidth="1"/>
    <col min="8" max="8" width="10.7109375" style="3" customWidth="1"/>
    <col min="9" max="9" width="10.42578125" style="3" customWidth="1"/>
    <col min="10" max="10" width="15" style="3" customWidth="1"/>
    <col min="11" max="11" width="2.42578125" style="3" customWidth="1"/>
    <col min="12" max="12" width="10.5703125" style="2" customWidth="1"/>
    <col min="13" max="14" width="2.28515625" style="3" customWidth="1"/>
    <col min="15" max="15" width="20.7109375" style="3" customWidth="1"/>
    <col min="16" max="18" width="9.140625" style="3"/>
    <col min="19" max="19" width="20.7109375" style="3" customWidth="1"/>
    <col min="20" max="80" width="9.140625" style="3"/>
    <col min="81" max="81" width="19.28515625" style="3" customWidth="1"/>
    <col min="82" max="89" width="9.140625" style="3"/>
    <col min="90" max="91" width="2.85546875" style="3" customWidth="1"/>
    <col min="92" max="92" width="19.28515625" style="3" customWidth="1"/>
    <col min="93" max="100" width="9.140625" style="3"/>
    <col min="101" max="102" width="3.85546875" style="3" customWidth="1"/>
    <col min="103" max="103" width="3.7109375" style="3" customWidth="1"/>
    <col min="104" max="104" width="18.5703125" style="3" customWidth="1"/>
    <col min="105" max="16384" width="9.140625" style="3"/>
  </cols>
  <sheetData>
    <row r="1" spans="2:18" ht="23.25">
      <c r="C1" s="82" t="s">
        <v>120</v>
      </c>
      <c r="O1" s="331" t="s">
        <v>426</v>
      </c>
      <c r="P1" s="331"/>
      <c r="Q1" s="331"/>
      <c r="R1" s="331"/>
    </row>
    <row r="2" spans="2:18">
      <c r="O2" s="331" t="s">
        <v>428</v>
      </c>
      <c r="P2" s="331"/>
      <c r="Q2" s="331"/>
      <c r="R2" s="331"/>
    </row>
    <row r="3" spans="2:18" ht="15.75" thickBot="1">
      <c r="C3" s="89" t="s">
        <v>121</v>
      </c>
      <c r="D3" s="89"/>
      <c r="E3" s="89"/>
      <c r="F3" s="89"/>
      <c r="G3" s="89"/>
      <c r="H3" s="89"/>
      <c r="L3" s="81" t="s">
        <v>0</v>
      </c>
      <c r="O3" s="317"/>
      <c r="P3" s="316" t="s">
        <v>381</v>
      </c>
      <c r="Q3" s="316" t="s">
        <v>415</v>
      </c>
      <c r="R3" s="316" t="s">
        <v>416</v>
      </c>
    </row>
    <row r="4" spans="2:18" ht="15.75" thickBot="1">
      <c r="C4" s="90" t="s">
        <v>137</v>
      </c>
      <c r="D4" s="90"/>
      <c r="E4" s="90"/>
      <c r="F4" s="98">
        <v>2018</v>
      </c>
      <c r="L4" s="25"/>
      <c r="O4" s="318" t="s">
        <v>427</v>
      </c>
      <c r="P4" s="319">
        <f t="shared" ref="P4:R5" si="0">+CI220</f>
        <v>132</v>
      </c>
      <c r="Q4" s="319">
        <f t="shared" si="0"/>
        <v>45</v>
      </c>
      <c r="R4" s="319">
        <f t="shared" si="0"/>
        <v>60</v>
      </c>
    </row>
    <row r="5" spans="2:18" ht="15.75" thickBot="1">
      <c r="L5" s="26"/>
      <c r="O5" s="332" t="s">
        <v>429</v>
      </c>
      <c r="P5" s="338">
        <f t="shared" si="0"/>
        <v>18.5</v>
      </c>
      <c r="Q5" s="338">
        <f t="shared" si="0"/>
        <v>17</v>
      </c>
      <c r="R5" s="338">
        <f t="shared" si="0"/>
        <v>12</v>
      </c>
    </row>
    <row r="6" spans="2:18" ht="38.25">
      <c r="E6" s="150" t="s">
        <v>150</v>
      </c>
      <c r="F6" s="123" t="s">
        <v>3</v>
      </c>
      <c r="G6" s="125" t="s">
        <v>4</v>
      </c>
      <c r="H6" s="123" t="s">
        <v>5</v>
      </c>
      <c r="I6" s="125" t="s">
        <v>4</v>
      </c>
      <c r="J6" s="123" t="s">
        <v>63</v>
      </c>
      <c r="L6" s="160"/>
      <c r="O6" s="324" t="s">
        <v>454</v>
      </c>
      <c r="P6" s="323">
        <f t="shared" ref="P6:R7" si="1">IF($J$9&gt;100,CT220,"0")</f>
        <v>195</v>
      </c>
      <c r="Q6" s="323">
        <f t="shared" si="1"/>
        <v>66</v>
      </c>
      <c r="R6" s="323">
        <f t="shared" si="1"/>
        <v>144</v>
      </c>
    </row>
    <row r="7" spans="2:18" ht="15.75" thickBot="1">
      <c r="B7" s="32" t="s">
        <v>6</v>
      </c>
      <c r="C7" s="33" t="s">
        <v>7</v>
      </c>
      <c r="D7" s="34"/>
      <c r="E7" s="35"/>
      <c r="F7" s="4"/>
      <c r="G7" s="4"/>
      <c r="H7" s="4"/>
      <c r="I7" s="4"/>
      <c r="J7" s="4"/>
      <c r="L7" s="27"/>
      <c r="O7" s="332" t="s">
        <v>429</v>
      </c>
      <c r="P7" s="336">
        <f t="shared" si="1"/>
        <v>-44.5</v>
      </c>
      <c r="Q7" s="337">
        <f t="shared" si="1"/>
        <v>-4</v>
      </c>
      <c r="R7" s="337">
        <f t="shared" si="1"/>
        <v>-72</v>
      </c>
    </row>
    <row r="8" spans="2:18" ht="15">
      <c r="B8" s="5" t="s">
        <v>8</v>
      </c>
      <c r="C8" s="36" t="s">
        <v>181</v>
      </c>
      <c r="E8" s="37">
        <v>1</v>
      </c>
      <c r="F8" s="83">
        <v>3000</v>
      </c>
      <c r="G8" s="6" t="s">
        <v>20</v>
      </c>
      <c r="H8" s="83">
        <v>45</v>
      </c>
      <c r="I8" s="6" t="s">
        <v>21</v>
      </c>
      <c r="J8" s="38">
        <f>E8*F8*H8</f>
        <v>135000</v>
      </c>
      <c r="L8" s="26"/>
    </row>
    <row r="9" spans="2:18" ht="15.75" thickBot="1">
      <c r="B9" s="5" t="s">
        <v>11</v>
      </c>
      <c r="C9" s="29" t="s">
        <v>115</v>
      </c>
      <c r="E9" s="39">
        <v>1</v>
      </c>
      <c r="F9" s="99">
        <v>3</v>
      </c>
      <c r="G9" s="3" t="s">
        <v>2</v>
      </c>
      <c r="H9" s="51">
        <v>2000</v>
      </c>
      <c r="I9" s="3" t="s">
        <v>10</v>
      </c>
      <c r="J9" s="40">
        <f>E9*F9*H9</f>
        <v>6000</v>
      </c>
      <c r="L9" s="26" t="s">
        <v>417</v>
      </c>
    </row>
    <row r="10" spans="2:18" ht="15.75" thickBot="1">
      <c r="B10" s="41"/>
      <c r="C10" s="42" t="s">
        <v>46</v>
      </c>
      <c r="D10" s="43"/>
      <c r="E10" s="43"/>
      <c r="F10" s="44"/>
      <c r="G10" s="45"/>
      <c r="H10" s="44"/>
      <c r="I10" s="45"/>
      <c r="J10" s="46">
        <f>SUM(J8:J9)</f>
        <v>141000</v>
      </c>
      <c r="L10" s="26"/>
    </row>
    <row r="11" spans="2:18" ht="15">
      <c r="B11" s="47" t="s">
        <v>13</v>
      </c>
      <c r="C11" s="29" t="s">
        <v>14</v>
      </c>
      <c r="E11" s="48"/>
      <c r="F11" s="8"/>
      <c r="H11" s="8"/>
      <c r="J11" s="49"/>
      <c r="L11" s="26"/>
    </row>
    <row r="12" spans="2:18">
      <c r="B12" s="5" t="s">
        <v>8</v>
      </c>
      <c r="C12" s="4" t="s">
        <v>15</v>
      </c>
      <c r="E12" s="65">
        <v>1</v>
      </c>
      <c r="F12" s="126">
        <v>90</v>
      </c>
      <c r="G12" s="4" t="s">
        <v>96</v>
      </c>
      <c r="H12" s="51">
        <v>120</v>
      </c>
      <c r="I12" s="4" t="s">
        <v>21</v>
      </c>
      <c r="J12" s="49">
        <f t="shared" ref="J12" si="2">E12*F12*H12</f>
        <v>10800</v>
      </c>
      <c r="L12" s="26"/>
    </row>
    <row r="13" spans="2:18">
      <c r="B13" s="10" t="s">
        <v>11</v>
      </c>
      <c r="C13" s="4" t="s">
        <v>106</v>
      </c>
      <c r="E13" s="65"/>
      <c r="F13" s="9"/>
      <c r="G13" s="4"/>
      <c r="H13" s="9"/>
      <c r="I13" s="4"/>
      <c r="J13" s="49"/>
      <c r="L13" s="26"/>
    </row>
    <row r="14" spans="2:18">
      <c r="C14" s="11"/>
      <c r="D14" s="52" t="s">
        <v>19</v>
      </c>
      <c r="E14" s="305">
        <v>5</v>
      </c>
      <c r="F14" s="51">
        <v>20000</v>
      </c>
      <c r="G14" s="3" t="s">
        <v>96</v>
      </c>
      <c r="H14" s="66">
        <v>1.5</v>
      </c>
      <c r="I14" s="3" t="s">
        <v>21</v>
      </c>
      <c r="J14" s="49">
        <f>H14*F14*IF(E14=1,0.5, IF(E14=2,0.3,IF(E14=3,0.2,"0")))</f>
        <v>0</v>
      </c>
      <c r="L14" s="26" t="s">
        <v>420</v>
      </c>
    </row>
    <row r="15" spans="2:18">
      <c r="D15" s="52" t="s">
        <v>407</v>
      </c>
      <c r="E15" s="65">
        <v>1</v>
      </c>
      <c r="F15" s="51">
        <v>300</v>
      </c>
      <c r="G15" s="3" t="s">
        <v>96</v>
      </c>
      <c r="H15" s="66">
        <v>39</v>
      </c>
      <c r="I15" s="3" t="s">
        <v>21</v>
      </c>
      <c r="J15" s="49">
        <f t="shared" ref="J15:J44" si="3">E15*F15*H15</f>
        <v>11700</v>
      </c>
      <c r="L15" s="26"/>
    </row>
    <row r="16" spans="2:18">
      <c r="D16" s="52" t="s">
        <v>413</v>
      </c>
      <c r="E16" s="65">
        <v>1</v>
      </c>
      <c r="F16" s="51">
        <v>50</v>
      </c>
      <c r="G16" s="3" t="s">
        <v>96</v>
      </c>
      <c r="H16" s="66">
        <v>51.5</v>
      </c>
      <c r="I16" s="3" t="s">
        <v>21</v>
      </c>
      <c r="J16" s="49">
        <f t="shared" si="3"/>
        <v>2575</v>
      </c>
      <c r="L16" s="26"/>
    </row>
    <row r="17" spans="2:18">
      <c r="D17" s="52" t="s">
        <v>411</v>
      </c>
      <c r="E17" s="65">
        <v>1</v>
      </c>
      <c r="F17" s="51">
        <v>100</v>
      </c>
      <c r="G17" s="3" t="s">
        <v>96</v>
      </c>
      <c r="H17" s="66">
        <v>31</v>
      </c>
      <c r="I17" s="3" t="s">
        <v>21</v>
      </c>
      <c r="J17" s="49">
        <f t="shared" si="3"/>
        <v>3100</v>
      </c>
      <c r="L17" s="26"/>
    </row>
    <row r="18" spans="2:18">
      <c r="D18" s="52"/>
      <c r="E18" s="65">
        <v>1</v>
      </c>
      <c r="F18" s="51">
        <v>0</v>
      </c>
      <c r="G18" s="3" t="s">
        <v>96</v>
      </c>
      <c r="H18" s="66">
        <v>0</v>
      </c>
      <c r="I18" s="3" t="s">
        <v>21</v>
      </c>
      <c r="J18" s="49">
        <f t="shared" si="3"/>
        <v>0</v>
      </c>
      <c r="L18" s="26"/>
    </row>
    <row r="19" spans="2:18" ht="15">
      <c r="D19" s="52"/>
      <c r="E19" s="65">
        <v>1</v>
      </c>
      <c r="F19" s="51">
        <v>0</v>
      </c>
      <c r="G19" s="3" t="s">
        <v>96</v>
      </c>
      <c r="H19" s="66">
        <v>0</v>
      </c>
      <c r="I19" s="3" t="s">
        <v>21</v>
      </c>
      <c r="J19" s="49">
        <f t="shared" si="3"/>
        <v>0</v>
      </c>
      <c r="L19" s="26"/>
      <c r="P19" s="307" t="s">
        <v>381</v>
      </c>
      <c r="Q19" s="307" t="s">
        <v>415</v>
      </c>
      <c r="R19" s="307" t="s">
        <v>416</v>
      </c>
    </row>
    <row r="20" spans="2:18">
      <c r="D20" s="320"/>
      <c r="E20" s="65">
        <v>1</v>
      </c>
      <c r="F20" s="51">
        <v>0</v>
      </c>
      <c r="G20" s="3" t="s">
        <v>96</v>
      </c>
      <c r="H20" s="66">
        <v>0</v>
      </c>
      <c r="I20" s="3" t="s">
        <v>21</v>
      </c>
      <c r="J20" s="49">
        <f t="shared" si="3"/>
        <v>0</v>
      </c>
      <c r="L20" s="321" t="s">
        <v>430</v>
      </c>
      <c r="P20" s="308">
        <v>0</v>
      </c>
      <c r="Q20" s="308">
        <v>0</v>
      </c>
      <c r="R20" s="308">
        <v>0</v>
      </c>
    </row>
    <row r="21" spans="2:18">
      <c r="D21" s="320"/>
      <c r="E21" s="65">
        <v>1</v>
      </c>
      <c r="F21" s="51">
        <v>0</v>
      </c>
      <c r="G21" s="3" t="s">
        <v>96</v>
      </c>
      <c r="H21" s="66">
        <v>0</v>
      </c>
      <c r="I21" s="3" t="s">
        <v>21</v>
      </c>
      <c r="J21" s="49">
        <f t="shared" si="3"/>
        <v>0</v>
      </c>
      <c r="L21" s="321" t="s">
        <v>430</v>
      </c>
      <c r="P21" s="308">
        <v>0</v>
      </c>
      <c r="Q21" s="308">
        <v>0</v>
      </c>
      <c r="R21" s="308">
        <v>0</v>
      </c>
    </row>
    <row r="22" spans="2:18">
      <c r="B22" s="10" t="s">
        <v>22</v>
      </c>
      <c r="C22" s="17" t="s">
        <v>23</v>
      </c>
      <c r="E22" s="31"/>
      <c r="J22" s="49"/>
      <c r="L22" s="26"/>
    </row>
    <row r="23" spans="2:18">
      <c r="D23" s="52" t="s">
        <v>122</v>
      </c>
      <c r="E23" s="65">
        <v>1</v>
      </c>
      <c r="F23" s="66">
        <v>0.75</v>
      </c>
      <c r="G23" s="3" t="s">
        <v>93</v>
      </c>
      <c r="H23" s="51">
        <v>4500</v>
      </c>
      <c r="I23" s="3" t="s">
        <v>34</v>
      </c>
      <c r="J23" s="49">
        <f t="shared" si="3"/>
        <v>3375</v>
      </c>
      <c r="L23" s="26"/>
    </row>
    <row r="24" spans="2:18">
      <c r="D24" s="52" t="s">
        <v>123</v>
      </c>
      <c r="E24" s="65">
        <v>1</v>
      </c>
      <c r="F24" s="66">
        <v>2</v>
      </c>
      <c r="G24" s="3" t="s">
        <v>93</v>
      </c>
      <c r="H24" s="51">
        <v>1100</v>
      </c>
      <c r="J24" s="49">
        <f t="shared" si="3"/>
        <v>2200</v>
      </c>
      <c r="L24" s="26"/>
    </row>
    <row r="25" spans="2:18">
      <c r="D25" s="52" t="s">
        <v>124</v>
      </c>
      <c r="E25" s="65">
        <v>1</v>
      </c>
      <c r="F25" s="66">
        <v>8</v>
      </c>
      <c r="G25" s="3" t="s">
        <v>116</v>
      </c>
      <c r="H25" s="51">
        <v>50</v>
      </c>
      <c r="J25" s="49">
        <f t="shared" si="3"/>
        <v>400</v>
      </c>
      <c r="L25" s="26"/>
    </row>
    <row r="26" spans="2:18">
      <c r="D26" s="52" t="s">
        <v>192</v>
      </c>
      <c r="E26" s="65">
        <v>1</v>
      </c>
      <c r="F26" s="66">
        <v>1.5</v>
      </c>
      <c r="G26" s="3" t="s">
        <v>93</v>
      </c>
      <c r="H26" s="51">
        <v>1600</v>
      </c>
      <c r="J26" s="49">
        <f t="shared" si="3"/>
        <v>2400</v>
      </c>
      <c r="L26" s="26"/>
    </row>
    <row r="27" spans="2:18">
      <c r="D27" s="52" t="s">
        <v>28</v>
      </c>
      <c r="E27" s="65">
        <v>1</v>
      </c>
      <c r="F27" s="66"/>
      <c r="H27" s="51"/>
      <c r="J27" s="49">
        <f t="shared" si="3"/>
        <v>0</v>
      </c>
      <c r="L27" s="26"/>
    </row>
    <row r="28" spans="2:18">
      <c r="D28" s="52" t="s">
        <v>29</v>
      </c>
      <c r="E28" s="65">
        <v>1</v>
      </c>
      <c r="F28" s="66"/>
      <c r="H28" s="51"/>
      <c r="J28" s="49">
        <f t="shared" si="3"/>
        <v>0</v>
      </c>
      <c r="L28" s="26"/>
    </row>
    <row r="29" spans="2:18">
      <c r="B29" s="10" t="s">
        <v>30</v>
      </c>
      <c r="C29" s="3" t="s">
        <v>52</v>
      </c>
      <c r="E29" s="31"/>
      <c r="H29" s="8"/>
      <c r="J29" s="49"/>
      <c r="L29" s="26"/>
    </row>
    <row r="30" spans="2:18">
      <c r="C30" s="11" t="s">
        <v>56</v>
      </c>
      <c r="D30" s="17" t="s">
        <v>56</v>
      </c>
      <c r="E30" s="39">
        <v>1</v>
      </c>
      <c r="F30" s="66">
        <v>15</v>
      </c>
      <c r="G30" s="3" t="s">
        <v>93</v>
      </c>
      <c r="H30" s="51">
        <v>145</v>
      </c>
      <c r="I30" s="3" t="s">
        <v>34</v>
      </c>
      <c r="J30" s="49">
        <f t="shared" si="3"/>
        <v>2175</v>
      </c>
      <c r="L30" s="26" t="s">
        <v>104</v>
      </c>
    </row>
    <row r="31" spans="2:18">
      <c r="B31" s="10" t="s">
        <v>35</v>
      </c>
      <c r="C31" s="3" t="s">
        <v>54</v>
      </c>
      <c r="E31" s="39">
        <v>1</v>
      </c>
      <c r="F31" s="66">
        <v>60</v>
      </c>
      <c r="G31" s="3" t="s">
        <v>93</v>
      </c>
      <c r="H31" s="51">
        <f>Inputi!G11</f>
        <v>145</v>
      </c>
      <c r="I31" s="3" t="s">
        <v>34</v>
      </c>
      <c r="J31" s="49">
        <f t="shared" si="3"/>
        <v>8700</v>
      </c>
      <c r="L31" s="26"/>
    </row>
    <row r="32" spans="2:18">
      <c r="B32" s="10" t="s">
        <v>40</v>
      </c>
      <c r="C32" s="3" t="s">
        <v>55</v>
      </c>
      <c r="E32" s="39">
        <v>1</v>
      </c>
      <c r="F32" s="3">
        <v>1</v>
      </c>
      <c r="G32" s="3" t="s">
        <v>1</v>
      </c>
      <c r="H32" s="8">
        <v>5000</v>
      </c>
      <c r="I32" s="3" t="s">
        <v>37</v>
      </c>
      <c r="J32" s="49">
        <f t="shared" si="3"/>
        <v>5000</v>
      </c>
      <c r="L32" s="26"/>
    </row>
    <row r="33" spans="2:12">
      <c r="B33" s="10" t="s">
        <v>60</v>
      </c>
      <c r="C33" s="3" t="s">
        <v>58</v>
      </c>
      <c r="E33" s="31"/>
      <c r="H33" s="8"/>
      <c r="J33" s="49"/>
      <c r="L33" s="26"/>
    </row>
    <row r="34" spans="2:12">
      <c r="B34" s="10"/>
      <c r="C34" s="67"/>
      <c r="D34" s="68" t="s">
        <v>59</v>
      </c>
      <c r="E34" s="65">
        <v>1</v>
      </c>
      <c r="F34" s="66"/>
      <c r="G34" s="3" t="s">
        <v>1</v>
      </c>
      <c r="H34" s="51"/>
      <c r="I34" s="3" t="s">
        <v>37</v>
      </c>
      <c r="J34" s="49">
        <f t="shared" si="3"/>
        <v>0</v>
      </c>
      <c r="L34" s="26"/>
    </row>
    <row r="35" spans="2:12">
      <c r="B35" s="10"/>
      <c r="C35" s="67"/>
      <c r="D35" s="68" t="s">
        <v>65</v>
      </c>
      <c r="E35" s="65">
        <v>1</v>
      </c>
      <c r="F35" s="66"/>
      <c r="G35" s="3" t="s">
        <v>1</v>
      </c>
      <c r="H35" s="51"/>
      <c r="I35" s="3" t="s">
        <v>37</v>
      </c>
      <c r="J35" s="49">
        <f t="shared" si="3"/>
        <v>0</v>
      </c>
      <c r="L35" s="26"/>
    </row>
    <row r="36" spans="2:12">
      <c r="B36" s="10"/>
      <c r="C36" s="67"/>
      <c r="D36" s="68" t="s">
        <v>38</v>
      </c>
      <c r="E36" s="65">
        <v>1</v>
      </c>
      <c r="F36" s="66">
        <v>1</v>
      </c>
      <c r="G36" s="3" t="s">
        <v>1</v>
      </c>
      <c r="H36" s="51">
        <v>2500</v>
      </c>
      <c r="I36" s="3" t="s">
        <v>37</v>
      </c>
      <c r="J36" s="49">
        <f t="shared" si="3"/>
        <v>2500</v>
      </c>
      <c r="L36" s="26"/>
    </row>
    <row r="37" spans="2:12">
      <c r="B37" s="10"/>
      <c r="C37" s="67"/>
      <c r="D37" s="68" t="s">
        <v>118</v>
      </c>
      <c r="E37" s="65">
        <v>1</v>
      </c>
      <c r="F37" s="66">
        <v>1</v>
      </c>
      <c r="G37" s="3" t="s">
        <v>1</v>
      </c>
      <c r="H37" s="51">
        <v>11000</v>
      </c>
      <c r="I37" s="3" t="s">
        <v>37</v>
      </c>
      <c r="J37" s="49">
        <f t="shared" si="3"/>
        <v>11000</v>
      </c>
      <c r="L37" s="26"/>
    </row>
    <row r="38" spans="2:12">
      <c r="C38" s="67"/>
      <c r="D38" s="68"/>
      <c r="E38" s="65">
        <v>1</v>
      </c>
      <c r="F38" s="66"/>
      <c r="G38" s="3" t="s">
        <v>1</v>
      </c>
      <c r="H38" s="51"/>
      <c r="I38" s="3" t="s">
        <v>37</v>
      </c>
      <c r="J38" s="49">
        <f t="shared" si="3"/>
        <v>0</v>
      </c>
      <c r="L38" s="26"/>
    </row>
    <row r="39" spans="2:12">
      <c r="C39" s="69"/>
      <c r="D39" s="66"/>
      <c r="E39" s="65">
        <v>1</v>
      </c>
      <c r="F39" s="66"/>
      <c r="G39" s="3" t="s">
        <v>1</v>
      </c>
      <c r="H39" s="51"/>
      <c r="I39" s="3" t="s">
        <v>37</v>
      </c>
      <c r="J39" s="49">
        <f t="shared" si="3"/>
        <v>0</v>
      </c>
      <c r="L39" s="26"/>
    </row>
    <row r="40" spans="2:12">
      <c r="B40" s="10" t="s">
        <v>62</v>
      </c>
      <c r="C40" s="3" t="s">
        <v>57</v>
      </c>
      <c r="E40" s="65">
        <v>1</v>
      </c>
      <c r="F40" s="66">
        <v>10</v>
      </c>
      <c r="G40" s="3" t="s">
        <v>100</v>
      </c>
      <c r="H40" s="51">
        <v>200</v>
      </c>
      <c r="I40" s="3" t="s">
        <v>105</v>
      </c>
      <c r="J40" s="49">
        <f t="shared" si="3"/>
        <v>2000</v>
      </c>
      <c r="L40" s="26" t="s">
        <v>404</v>
      </c>
    </row>
    <row r="41" spans="2:12">
      <c r="B41" s="10" t="s">
        <v>67</v>
      </c>
      <c r="C41" s="3" t="s">
        <v>271</v>
      </c>
      <c r="E41" s="31"/>
      <c r="H41" s="8"/>
      <c r="J41" s="49"/>
      <c r="L41" s="26"/>
    </row>
    <row r="42" spans="2:12">
      <c r="D42" s="66" t="s">
        <v>94</v>
      </c>
      <c r="E42" s="39">
        <v>1</v>
      </c>
      <c r="F42" s="51"/>
      <c r="G42" s="3" t="s">
        <v>96</v>
      </c>
      <c r="H42" s="99"/>
      <c r="I42" s="3" t="s">
        <v>21</v>
      </c>
      <c r="J42" s="49">
        <f t="shared" si="3"/>
        <v>0</v>
      </c>
      <c r="L42" s="26"/>
    </row>
    <row r="43" spans="2:12">
      <c r="D43" s="66" t="s">
        <v>95</v>
      </c>
      <c r="E43" s="39">
        <v>1</v>
      </c>
      <c r="F43" s="51">
        <v>3500</v>
      </c>
      <c r="G43" s="3" t="s">
        <v>96</v>
      </c>
      <c r="H43" s="99">
        <v>1</v>
      </c>
      <c r="I43" s="3" t="s">
        <v>21</v>
      </c>
      <c r="J43" s="49">
        <f t="shared" si="3"/>
        <v>3500</v>
      </c>
      <c r="L43" s="26"/>
    </row>
    <row r="44" spans="2:12" ht="15" thickBot="1">
      <c r="B44" s="3" t="s">
        <v>68</v>
      </c>
      <c r="C44" s="67" t="s">
        <v>374</v>
      </c>
      <c r="D44" s="4"/>
      <c r="E44" s="65">
        <v>1</v>
      </c>
      <c r="F44" s="209">
        <v>1</v>
      </c>
      <c r="G44" s="4" t="s">
        <v>1</v>
      </c>
      <c r="H44" s="51">
        <v>3000</v>
      </c>
      <c r="I44" s="3" t="s">
        <v>37</v>
      </c>
      <c r="J44" s="49">
        <f t="shared" si="3"/>
        <v>3000</v>
      </c>
      <c r="L44" s="26"/>
    </row>
    <row r="45" spans="2:12" ht="15.75" thickBot="1">
      <c r="B45" s="41"/>
      <c r="C45" s="42" t="s">
        <v>101</v>
      </c>
      <c r="D45" s="43"/>
      <c r="E45" s="43"/>
      <c r="F45" s="44"/>
      <c r="G45" s="45"/>
      <c r="H45" s="44"/>
      <c r="I45" s="45"/>
      <c r="J45" s="46">
        <f>SUM(J12:J44)</f>
        <v>74425</v>
      </c>
      <c r="L45" s="26"/>
    </row>
    <row r="46" spans="2:12" ht="15.75" thickBot="1">
      <c r="B46" s="70" t="s">
        <v>103</v>
      </c>
      <c r="C46" s="71" t="s">
        <v>102</v>
      </c>
      <c r="D46" s="71"/>
      <c r="E46" s="72"/>
      <c r="F46" s="72"/>
      <c r="G46" s="72"/>
      <c r="H46" s="73"/>
      <c r="I46" s="72"/>
      <c r="J46" s="28">
        <f>J10-J45</f>
        <v>66575</v>
      </c>
      <c r="L46" s="26"/>
    </row>
    <row r="47" spans="2:12" ht="16.5" thickTop="1" thickBot="1">
      <c r="B47" s="70" t="s">
        <v>403</v>
      </c>
      <c r="C47" s="71" t="s">
        <v>418</v>
      </c>
      <c r="D47" s="71"/>
      <c r="E47" s="72"/>
      <c r="F47" s="72"/>
      <c r="G47" s="72"/>
      <c r="H47" s="73"/>
      <c r="I47" s="72"/>
      <c r="J47" s="28">
        <f>J10-J45+IF(J9&gt;100,CO226,IF(J9&lt;100,CD226,"0"))</f>
        <v>59857.926555183949</v>
      </c>
      <c r="L47" s="26"/>
    </row>
    <row r="48" spans="2:12" ht="15" thickTop="1"/>
    <row r="49" spans="2:8" ht="15.75" thickBot="1">
      <c r="C49" s="89" t="s">
        <v>253</v>
      </c>
      <c r="D49" s="90"/>
      <c r="E49" s="90"/>
      <c r="F49" s="90"/>
      <c r="G49" s="90"/>
      <c r="H49" s="90"/>
    </row>
    <row r="50" spans="2:8" ht="15" thickBot="1"/>
    <row r="51" spans="2:8" ht="15.75" thickTop="1">
      <c r="C51" s="74" t="s">
        <v>7</v>
      </c>
      <c r="D51" s="75"/>
      <c r="E51" s="75"/>
      <c r="F51" s="76" t="s">
        <v>107</v>
      </c>
    </row>
    <row r="52" spans="2:8">
      <c r="C52" s="53" t="s">
        <v>181</v>
      </c>
      <c r="F52" s="8">
        <f>J8</f>
        <v>135000</v>
      </c>
    </row>
    <row r="53" spans="2:8" ht="15" thickBot="1">
      <c r="C53" s="54" t="s">
        <v>362</v>
      </c>
      <c r="F53" s="8">
        <f>J9</f>
        <v>6000</v>
      </c>
    </row>
    <row r="54" spans="2:8" ht="15.75" thickBot="1">
      <c r="B54" s="55"/>
      <c r="C54" s="42" t="s">
        <v>46</v>
      </c>
      <c r="D54" s="43"/>
      <c r="E54" s="43"/>
      <c r="F54" s="56">
        <f>J10</f>
        <v>141000</v>
      </c>
    </row>
    <row r="55" spans="2:8" ht="15">
      <c r="B55" s="55"/>
      <c r="C55" s="29" t="s">
        <v>14</v>
      </c>
      <c r="F55" s="8"/>
    </row>
    <row r="56" spans="2:8">
      <c r="C56" s="54" t="s">
        <v>15</v>
      </c>
      <c r="F56" s="8">
        <f>J12</f>
        <v>10800</v>
      </c>
    </row>
    <row r="57" spans="2:8">
      <c r="C57" s="54" t="s">
        <v>106</v>
      </c>
      <c r="F57" s="8">
        <f>SUM(J14:J19)</f>
        <v>17375</v>
      </c>
    </row>
    <row r="58" spans="2:8">
      <c r="C58" s="54" t="s">
        <v>23</v>
      </c>
      <c r="F58" s="8">
        <f>SUM(J23:J28)</f>
        <v>8375</v>
      </c>
    </row>
    <row r="59" spans="2:8">
      <c r="C59" s="54" t="s">
        <v>52</v>
      </c>
      <c r="F59" s="8">
        <f>J30</f>
        <v>2175</v>
      </c>
    </row>
    <row r="60" spans="2:8">
      <c r="C60" s="54" t="s">
        <v>54</v>
      </c>
      <c r="F60" s="8">
        <f>J31</f>
        <v>8700</v>
      </c>
    </row>
    <row r="61" spans="2:8">
      <c r="C61" s="54" t="s">
        <v>55</v>
      </c>
      <c r="F61" s="8">
        <f>J32</f>
        <v>5000</v>
      </c>
    </row>
    <row r="62" spans="2:8">
      <c r="C62" s="54" t="s">
        <v>58</v>
      </c>
      <c r="F62" s="8">
        <f>SUM(J34:J39)</f>
        <v>13500</v>
      </c>
    </row>
    <row r="63" spans="2:8">
      <c r="C63" s="54" t="s">
        <v>53</v>
      </c>
      <c r="F63" s="8">
        <f>J40</f>
        <v>2000</v>
      </c>
    </row>
    <row r="64" spans="2:8">
      <c r="C64" s="54" t="s">
        <v>271</v>
      </c>
      <c r="F64" s="8">
        <f>SUM(J42:J43)</f>
        <v>3500</v>
      </c>
    </row>
    <row r="65" spans="3:6" ht="15" thickBot="1">
      <c r="C65" s="199" t="s">
        <v>374</v>
      </c>
      <c r="F65" s="8">
        <f>J44</f>
        <v>3000</v>
      </c>
    </row>
    <row r="66" spans="3:6" ht="15.75" thickBot="1">
      <c r="C66" s="42" t="s">
        <v>101</v>
      </c>
      <c r="D66" s="43"/>
      <c r="E66" s="43"/>
      <c r="F66" s="56">
        <f>SUM(F56:F65)</f>
        <v>74425</v>
      </c>
    </row>
    <row r="67" spans="3:6" ht="15.75" thickBot="1">
      <c r="C67" s="71" t="s">
        <v>42</v>
      </c>
      <c r="D67" s="72"/>
      <c r="E67" s="72"/>
      <c r="F67" s="77">
        <f>F54-F66</f>
        <v>66575</v>
      </c>
    </row>
    <row r="68" spans="3:6" ht="15.75" thickTop="1">
      <c r="C68" s="96"/>
      <c r="D68" s="97"/>
      <c r="E68" s="97"/>
      <c r="F68" s="63"/>
    </row>
    <row r="93" spans="4:10" ht="15.75" thickBot="1">
      <c r="D93" s="89" t="s">
        <v>186</v>
      </c>
      <c r="E93" s="90"/>
      <c r="F93" s="90"/>
      <c r="G93" s="90"/>
      <c r="H93" s="90"/>
      <c r="I93" s="90"/>
      <c r="J93" s="90"/>
    </row>
    <row r="95" spans="4:10" ht="15.75" thickBot="1">
      <c r="D95" s="12"/>
      <c r="E95" s="13"/>
      <c r="F95" s="14"/>
      <c r="G95" s="57"/>
      <c r="H95" s="57" t="s">
        <v>160</v>
      </c>
      <c r="I95" s="57"/>
      <c r="J95" s="79"/>
    </row>
    <row r="96" spans="4:10">
      <c r="D96" s="15"/>
      <c r="E96" s="16"/>
      <c r="F96" s="154">
        <v>-0.2</v>
      </c>
      <c r="G96" s="154">
        <v>-0.1</v>
      </c>
      <c r="H96" s="59" t="s">
        <v>110</v>
      </c>
      <c r="I96" s="154">
        <v>0.1</v>
      </c>
      <c r="J96" s="155">
        <v>0.2</v>
      </c>
    </row>
    <row r="97" spans="4:10" ht="15.75" thickBot="1">
      <c r="D97" s="60" t="s">
        <v>109</v>
      </c>
      <c r="E97" s="61"/>
      <c r="F97" s="92">
        <f>H97*(1+F96)</f>
        <v>36</v>
      </c>
      <c r="G97" s="92">
        <f>H97*(1+G96)</f>
        <v>40.5</v>
      </c>
      <c r="H97" s="92">
        <f>H8</f>
        <v>45</v>
      </c>
      <c r="I97" s="93">
        <f>$H$97*(1+I96)</f>
        <v>49.500000000000007</v>
      </c>
      <c r="J97" s="94">
        <f>$H$97*(1+J96)</f>
        <v>54</v>
      </c>
    </row>
    <row r="98" spans="4:10" ht="15">
      <c r="D98" s="152">
        <v>-0.2</v>
      </c>
      <c r="E98" s="62">
        <f>$E$100*(1+D98)</f>
        <v>2400</v>
      </c>
      <c r="F98" s="88">
        <f>$H$98-$E$98*($H$97-F97)</f>
        <v>11257.926555183949</v>
      </c>
      <c r="G98" s="88">
        <f>$H$98-$E$98*($H$97-G97)</f>
        <v>22057.926555183949</v>
      </c>
      <c r="H98" s="88">
        <f>$H$100-($E$100-E98)*$H$97</f>
        <v>32857.926555183949</v>
      </c>
      <c r="I98" s="84">
        <f>$H$98+$E$98*(I97-$H$97)</f>
        <v>43657.926555183964</v>
      </c>
      <c r="J98" s="85">
        <f>$H$98+$E$98*(J97-$H$97)</f>
        <v>54457.926555183949</v>
      </c>
    </row>
    <row r="99" spans="4:10" ht="15">
      <c r="D99" s="152">
        <v>-0.1</v>
      </c>
      <c r="E99" s="62">
        <f>$E$100*(1+D99)</f>
        <v>2700</v>
      </c>
      <c r="F99" s="88">
        <f>$H$99-$E$99*($H$97-F97)</f>
        <v>22057.926555183949</v>
      </c>
      <c r="G99" s="88">
        <f>$H$99-$E$99*($H$97-G97)</f>
        <v>34207.926555183949</v>
      </c>
      <c r="H99" s="88">
        <f>$H$100-($E$100-E99)*$H$97</f>
        <v>46357.926555183949</v>
      </c>
      <c r="I99" s="88">
        <f>$H$99+$E$99*(I97-$H$97)</f>
        <v>58507.926555183971</v>
      </c>
      <c r="J99" s="91">
        <f>$H$99+$E$99*(J97-$H$97)</f>
        <v>70657.926555183949</v>
      </c>
    </row>
    <row r="100" spans="4:10" ht="15">
      <c r="D100" s="18" t="s">
        <v>43</v>
      </c>
      <c r="E100" s="62">
        <f>F8</f>
        <v>3000</v>
      </c>
      <c r="F100" s="88">
        <f>$H$100-$E$100*($H$97-F97)</f>
        <v>32857.926555183949</v>
      </c>
      <c r="G100" s="88">
        <f>$H$100-$E$100*($H$97-G97)</f>
        <v>46357.926555183949</v>
      </c>
      <c r="H100" s="63">
        <f>J47</f>
        <v>59857.926555183949</v>
      </c>
      <c r="I100" s="84">
        <f>$H$100+$E$100*(I97-$H$97)</f>
        <v>73357.926555183978</v>
      </c>
      <c r="J100" s="85">
        <f>$H$100+$E$100*(J97-$H$97)</f>
        <v>86857.926555183949</v>
      </c>
    </row>
    <row r="101" spans="4:10" ht="15">
      <c r="D101" s="152">
        <v>0.1</v>
      </c>
      <c r="E101" s="78">
        <f>$E$100*(1+D101)</f>
        <v>3300.0000000000005</v>
      </c>
      <c r="F101" s="84">
        <f>$H$101-$E$101*($H$97-F97)</f>
        <v>43657.926555183964</v>
      </c>
      <c r="G101" s="84">
        <f>$H$101-$E$101*($H$97-G97)</f>
        <v>58507.926555183964</v>
      </c>
      <c r="H101" s="88">
        <f>$H$100-($E$100-E101)*$H$97</f>
        <v>73357.926555183964</v>
      </c>
      <c r="I101" s="84">
        <f>$H$101+$E$101*(I97-$H$97)</f>
        <v>88207.926555183993</v>
      </c>
      <c r="J101" s="85">
        <f>$H$101+$E$101*(J97-$H$97)</f>
        <v>103057.92655518396</v>
      </c>
    </row>
    <row r="102" spans="4:10" ht="15">
      <c r="D102" s="153">
        <v>0.2</v>
      </c>
      <c r="E102" s="80">
        <f>$E$100*(1+D102)</f>
        <v>3600</v>
      </c>
      <c r="F102" s="86">
        <f>$H$102-$E$102*($H$97-F97)</f>
        <v>54457.926555183949</v>
      </c>
      <c r="G102" s="86">
        <f>$H$102-$E$102*($H$97-G97)</f>
        <v>70657.926555183949</v>
      </c>
      <c r="H102" s="95">
        <f>$H$100-($E$100-E102)*$H$97</f>
        <v>86857.926555183949</v>
      </c>
      <c r="I102" s="86">
        <f>$H$102+$E$102*(I97-$H$97)</f>
        <v>103057.92655518398</v>
      </c>
      <c r="J102" s="87">
        <f>$H$102+$E$102*(J97-$H$97)</f>
        <v>119257.92655518395</v>
      </c>
    </row>
    <row r="203" spans="81:107" ht="15.75">
      <c r="CC203" s="269" t="s">
        <v>375</v>
      </c>
      <c r="CD203" s="270"/>
      <c r="CE203" s="270"/>
      <c r="CF203" s="270"/>
      <c r="CG203" s="270"/>
      <c r="CH203" s="270"/>
      <c r="CI203" s="270"/>
      <c r="CJ203" s="270"/>
      <c r="CK203" s="270"/>
      <c r="CL203"/>
      <c r="CM203"/>
      <c r="CN203" s="271" t="s">
        <v>414</v>
      </c>
      <c r="CO203" s="272"/>
      <c r="CP203" s="272"/>
      <c r="CQ203" s="272"/>
      <c r="CR203" s="272"/>
      <c r="CS203" s="272"/>
      <c r="CT203" s="272"/>
      <c r="CU203" s="272"/>
      <c r="CV203" s="272"/>
      <c r="CZ203" s="298" t="s">
        <v>408</v>
      </c>
      <c r="DA203" s="300">
        <v>0.15</v>
      </c>
      <c r="DB203" s="300">
        <v>0.15</v>
      </c>
      <c r="DC203" s="300">
        <v>0.15</v>
      </c>
    </row>
    <row r="204" spans="81:107" ht="15.75">
      <c r="CC204" s="273" t="s">
        <v>376</v>
      </c>
      <c r="CD204" s="273" t="s">
        <v>377</v>
      </c>
      <c r="CE204" s="273" t="s">
        <v>378</v>
      </c>
      <c r="CF204" s="274" t="s">
        <v>379</v>
      </c>
      <c r="CG204" s="274"/>
      <c r="CH204" s="274"/>
      <c r="CI204" s="274" t="s">
        <v>380</v>
      </c>
      <c r="CJ204" s="274"/>
      <c r="CK204" s="275"/>
      <c r="CL204"/>
      <c r="CM204"/>
      <c r="CN204" s="273" t="s">
        <v>376</v>
      </c>
      <c r="CO204" s="273" t="s">
        <v>377</v>
      </c>
      <c r="CP204" s="273" t="s">
        <v>378</v>
      </c>
      <c r="CQ204" s="274" t="s">
        <v>379</v>
      </c>
      <c r="CR204" s="274"/>
      <c r="CS204" s="274"/>
      <c r="CT204" s="274" t="s">
        <v>380</v>
      </c>
      <c r="CU204" s="274"/>
      <c r="CV204" s="275"/>
      <c r="CZ204" s="298" t="s">
        <v>399</v>
      </c>
      <c r="DA204" s="300">
        <v>0.16</v>
      </c>
      <c r="DB204" s="300">
        <v>0.16</v>
      </c>
      <c r="DC204" s="300">
        <v>0.16</v>
      </c>
    </row>
    <row r="205" spans="81:107" ht="18">
      <c r="CC205"/>
      <c r="CD205"/>
      <c r="CE205"/>
      <c r="CF205" s="276" t="s">
        <v>381</v>
      </c>
      <c r="CG205" s="276" t="s">
        <v>382</v>
      </c>
      <c r="CH205" s="276" t="s">
        <v>383</v>
      </c>
      <c r="CI205" s="276" t="s">
        <v>381</v>
      </c>
      <c r="CJ205" s="276" t="s">
        <v>382</v>
      </c>
      <c r="CK205" s="276" t="s">
        <v>383</v>
      </c>
      <c r="CL205"/>
      <c r="CM205"/>
      <c r="CN205"/>
      <c r="CO205"/>
      <c r="CP205"/>
      <c r="CQ205" s="276" t="s">
        <v>381</v>
      </c>
      <c r="CR205" s="276" t="s">
        <v>382</v>
      </c>
      <c r="CS205" s="276" t="s">
        <v>383</v>
      </c>
      <c r="CT205" s="276" t="s">
        <v>381</v>
      </c>
      <c r="CU205" s="276" t="s">
        <v>382</v>
      </c>
      <c r="CV205" s="276" t="s">
        <v>383</v>
      </c>
      <c r="CZ205" s="298" t="s">
        <v>407</v>
      </c>
      <c r="DA205" s="300">
        <v>0.06</v>
      </c>
      <c r="DB205" s="300">
        <v>0.12</v>
      </c>
      <c r="DC205" s="300">
        <v>0.24</v>
      </c>
    </row>
    <row r="206" spans="81:107">
      <c r="CC206" t="str">
        <f>+D15</f>
        <v>NPK 6:12:24</v>
      </c>
      <c r="CD206" s="21">
        <f>+F15</f>
        <v>300</v>
      </c>
      <c r="CE206" t="s">
        <v>20</v>
      </c>
      <c r="CF206" s="304">
        <f>IF($CC206=$CZ$203,$DA$203,IF($CC206=$CZ$204,$DA$204,IF($CC206=$CZ$205,$DA$205,IF($CC206=$CZ$206,$DA$206, IF($CC206=$CZ$207,$DA$207,IF($CC206=$CZ$208,$DA$208,IF($CC206=$CZ$209,$DA$209,IF($CC206=$CZ$210,$DA$210,"0%"))))))))</f>
        <v>0.06</v>
      </c>
      <c r="CG206" s="304">
        <f>IF($CC206=$CZ$203,$DB$203,IF($CC206=$CZ$204,$DB$204,IF($CC206=$CZ$205,$DB$205,IF($CC206=$CZ$206,$DB$206, IF($CC206=$CZ$207,$DB$207,IF($CC206=$CZ$208,$DB$208,IF($CC206=$CZ$209,$DB$209,IF($CC206=$CZ$210,$DB$210,"0%"))))))))</f>
        <v>0.12</v>
      </c>
      <c r="CH206" s="304">
        <f>IF($CC206=$CZ$203,$DC$203,IF($CC206=$CZ$204,$DC$204,IF($CC206=$CZ$205,$DC$205,IF($CC206=$CZ$206,$DC$206, IF($CC206=$CZ$207,$DC$207,IF($CC206=$CZ$208,$DC$208,IF($CC206=$CZ$209,$DC$209,IF($CC206=$CZ$210,$DC$210,"0%"))))))))</f>
        <v>0.24</v>
      </c>
      <c r="CI206">
        <f>$CD206*CF206</f>
        <v>18</v>
      </c>
      <c r="CJ206">
        <f t="shared" ref="CJ206:CK207" si="4">$CD206*CG206</f>
        <v>36</v>
      </c>
      <c r="CK206">
        <f t="shared" si="4"/>
        <v>72</v>
      </c>
      <c r="CL206"/>
      <c r="CM206"/>
      <c r="CN206" s="1" t="str">
        <f>D15</f>
        <v>NPK 6:12:24</v>
      </c>
      <c r="CO206" s="21">
        <f>+F15</f>
        <v>300</v>
      </c>
      <c r="CP206" t="s">
        <v>20</v>
      </c>
      <c r="CQ206" s="304">
        <f>IF($CC206=$CZ$203,$DA$203,IF($CC206=$CZ$204,$DA$204,IF($CC206=$CZ$205,$DA$205,IF($CC206=$CZ$206,$DA$206, IF($CC206=$CZ$207,$DA$207,IF($CC206=$CZ$208,$DA$208,IF($CC206=$CZ$209,$DA$209,IF($CC206=$CZ$210,$DA$210,"0%"))))))))</f>
        <v>0.06</v>
      </c>
      <c r="CR206" s="304">
        <f>IF($CC206=$CZ$203,$DB$203,IF($CC206=$CZ$204,$DB$204,IF($CC206=$CZ$205,$DB$205,IF($CC206=$CZ$206,$DB$206, IF($CC206=$CZ$207,$DB$207,IF($CC206=$CZ$208,$DB$208,IF($CC206=$CZ$209,$DB$209,IF($CC206=$CZ$210,$DB$210,"0%"))))))))</f>
        <v>0.12</v>
      </c>
      <c r="CS206" s="304">
        <f>IF($CC206=$CZ$203,$DC$203,IF($CC206=$CZ$204,$DC$204,IF($CC206=$CZ$205,$DC$205,IF($CC206=$CZ$206,$DC$206, IF($CC206=$CZ$207,$DC$207,IF($CC206=$CZ$208,$DC$208,IF($CC206=$CZ$209,$DC$209,IF($CC206=$CZ$210,$DC$210,"0%"))))))))</f>
        <v>0.24</v>
      </c>
      <c r="CT206">
        <f>CO206*CQ206</f>
        <v>18</v>
      </c>
      <c r="CU206">
        <f>CO206*CR206</f>
        <v>36</v>
      </c>
      <c r="CV206">
        <f>CO206*CS206</f>
        <v>72</v>
      </c>
      <c r="CZ206" s="299" t="s">
        <v>412</v>
      </c>
      <c r="DA206" s="301">
        <v>0.11</v>
      </c>
      <c r="DB206" s="301">
        <v>0.52</v>
      </c>
      <c r="DC206" s="301">
        <v>0</v>
      </c>
    </row>
    <row r="207" spans="81:107">
      <c r="CC207" t="str">
        <f t="shared" ref="CC207:CC212" si="5">+D16</f>
        <v>MAP 12:52:0</v>
      </c>
      <c r="CD207" s="21">
        <f t="shared" ref="CD207:CD212" si="6">+F16</f>
        <v>50</v>
      </c>
      <c r="CE207" t="s">
        <v>20</v>
      </c>
      <c r="CF207" s="304">
        <f t="shared" ref="CF207:CF210" si="7">IF($CC207=$CZ$203,$DA$203,IF($CC207=$CZ$204,$DA$204,IF($CC207=$CZ$205,$DA$205,IF($CC207=CZ$206,$DA$206, IF($CC207=CZ$207,$DA$207,IF($CC207=$CZ$208,$DA$208,IF($CC207=$CZ$209,$DA$209,IF($CC207=$CZ$210,$DA$210,"0%"))))))))</f>
        <v>0.12</v>
      </c>
      <c r="CG207" s="304">
        <f t="shared" ref="CG207:CG210" si="8">IF($CC207=$CZ$203,$DB$203,IF($CC207=$CZ$204,$DB$204,IF($CC207=$CZ$205,$DB$205,IF($CC207=$CZ$206,$DB$206, IF($CC207=$CZ$207,$DB$207,IF($CC207=$CZ$208,$DB$208,IF($CC207=$CZ$209,$DB$209,IF($CC207=$CZ$210,$DB$210,"0%"))))))))</f>
        <v>0.52</v>
      </c>
      <c r="CH207" s="304">
        <f t="shared" ref="CH207:CH210" si="9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6</v>
      </c>
      <c r="CJ207">
        <f t="shared" si="4"/>
        <v>26</v>
      </c>
      <c r="CK207">
        <f t="shared" si="4"/>
        <v>0</v>
      </c>
      <c r="CL207"/>
      <c r="CM207"/>
      <c r="CN207" s="1" t="str">
        <f t="shared" ref="CN207:CN212" si="10">D16</f>
        <v>MAP 12:52:0</v>
      </c>
      <c r="CO207" s="21">
        <f t="shared" ref="CO207:CO212" si="11">+F16</f>
        <v>50</v>
      </c>
      <c r="CP207" t="s">
        <v>20</v>
      </c>
      <c r="CQ207" s="304">
        <f t="shared" ref="CQ207:CQ210" si="12">IF($CC207=$CZ$203,$DA$203,IF($CC207=$CZ$204,$DA$204,IF($CC207=$CZ$205,$DA$205,IF($CC207=$CZ$206,$DA$206, IF($CC207=$CZ$207,$DA$207,IF($CC207=$CZ$208,$DA$208,IF($CC207=$CZ$209,$DA$209,IF($CC207=$CZ$210,$DA$210,"0%"))))))))</f>
        <v>0.12</v>
      </c>
      <c r="CR207" s="304">
        <f t="shared" ref="CR207:CR210" si="13">IF($CC207=$CZ$203,$DB$203,IF($CC207=$CZ$204,$DB$204,IF($CC207=$CZ$205,$DB$205,IF($CC207=$CZ$206,$DB$206, IF($CC207=$CZ$207,$DB$207,IF($CC207=$CZ$208,$DB$208,IF($CC207=$CZ$209,$DB$209,IF($CC207=$CZ$210,$DB$210,"0%"))))))))</f>
        <v>0.52</v>
      </c>
      <c r="CS207" s="304">
        <f t="shared" ref="CS207:CS210" si="14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5">CO207*CQ207</f>
        <v>6</v>
      </c>
      <c r="CU207">
        <f t="shared" ref="CU207:CU212" si="16">CO207*CR207</f>
        <v>26</v>
      </c>
      <c r="CV207">
        <f t="shared" ref="CV207:CV212" si="17">CO207*CS207</f>
        <v>0</v>
      </c>
      <c r="CZ207" s="299" t="s">
        <v>413</v>
      </c>
      <c r="DA207" s="301">
        <v>0.12</v>
      </c>
      <c r="DB207" s="301">
        <v>0.52</v>
      </c>
      <c r="DC207" s="301">
        <v>0</v>
      </c>
    </row>
    <row r="208" spans="81:107">
      <c r="CC208" t="str">
        <f t="shared" si="5"/>
        <v>AN 33,5:0:0</v>
      </c>
      <c r="CD208" s="21">
        <f t="shared" si="6"/>
        <v>100</v>
      </c>
      <c r="CE208" t="s">
        <v>20</v>
      </c>
      <c r="CF208" s="304">
        <f t="shared" si="7"/>
        <v>0.33500000000000002</v>
      </c>
      <c r="CG208" s="304">
        <f t="shared" si="8"/>
        <v>0</v>
      </c>
      <c r="CH208" s="304">
        <f t="shared" si="9"/>
        <v>0</v>
      </c>
      <c r="CI208">
        <f t="shared" ref="CI208:CI212" si="18">$CD208*CF208</f>
        <v>33.5</v>
      </c>
      <c r="CJ208">
        <f t="shared" ref="CJ208:CJ212" si="19">$CD208*CG208</f>
        <v>0</v>
      </c>
      <c r="CK208">
        <f t="shared" ref="CK208:CK212" si="20">$CD208*CH208</f>
        <v>0</v>
      </c>
      <c r="CL208"/>
      <c r="CM208"/>
      <c r="CN208" s="1" t="str">
        <f t="shared" si="10"/>
        <v>AN 33,5:0:0</v>
      </c>
      <c r="CO208" s="21">
        <f t="shared" si="11"/>
        <v>100</v>
      </c>
      <c r="CP208" t="s">
        <v>20</v>
      </c>
      <c r="CQ208" s="304">
        <f t="shared" si="12"/>
        <v>0.33500000000000002</v>
      </c>
      <c r="CR208" s="304">
        <f t="shared" si="13"/>
        <v>0</v>
      </c>
      <c r="CS208" s="304">
        <f t="shared" si="14"/>
        <v>0</v>
      </c>
      <c r="CT208">
        <f t="shared" si="15"/>
        <v>33.5</v>
      </c>
      <c r="CU208">
        <f t="shared" si="16"/>
        <v>0</v>
      </c>
      <c r="CV208">
        <f t="shared" si="17"/>
        <v>0</v>
      </c>
      <c r="CZ208" s="298" t="s">
        <v>409</v>
      </c>
      <c r="DA208" s="301">
        <v>0.46</v>
      </c>
      <c r="DB208" s="301">
        <v>0</v>
      </c>
      <c r="DC208" s="301">
        <v>0</v>
      </c>
    </row>
    <row r="209" spans="81:107">
      <c r="CC209">
        <f t="shared" si="5"/>
        <v>0</v>
      </c>
      <c r="CD209" s="21">
        <f t="shared" si="6"/>
        <v>0</v>
      </c>
      <c r="CE209" t="s">
        <v>20</v>
      </c>
      <c r="CF209" s="304" t="str">
        <f t="shared" si="7"/>
        <v>0%</v>
      </c>
      <c r="CG209" s="304" t="str">
        <f t="shared" si="8"/>
        <v>0%</v>
      </c>
      <c r="CH209" s="304" t="str">
        <f t="shared" si="9"/>
        <v>0%</v>
      </c>
      <c r="CI209">
        <f t="shared" si="18"/>
        <v>0</v>
      </c>
      <c r="CJ209">
        <f t="shared" si="19"/>
        <v>0</v>
      </c>
      <c r="CK209">
        <f t="shared" si="20"/>
        <v>0</v>
      </c>
      <c r="CL209"/>
      <c r="CM209"/>
      <c r="CN209" s="1">
        <f t="shared" si="10"/>
        <v>0</v>
      </c>
      <c r="CO209" s="21">
        <f t="shared" si="11"/>
        <v>0</v>
      </c>
      <c r="CP209" t="s">
        <v>20</v>
      </c>
      <c r="CQ209" s="304" t="str">
        <f t="shared" si="12"/>
        <v>0%</v>
      </c>
      <c r="CR209" s="304" t="str">
        <f t="shared" si="13"/>
        <v>0%</v>
      </c>
      <c r="CS209" s="304" t="str">
        <f t="shared" si="14"/>
        <v>0%</v>
      </c>
      <c r="CT209">
        <f t="shared" si="15"/>
        <v>0</v>
      </c>
      <c r="CU209">
        <f t="shared" si="16"/>
        <v>0</v>
      </c>
      <c r="CV209">
        <f t="shared" si="17"/>
        <v>0</v>
      </c>
      <c r="CZ209" s="298" t="s">
        <v>410</v>
      </c>
      <c r="DA209" s="301">
        <v>0.27</v>
      </c>
      <c r="DB209" s="301">
        <v>0</v>
      </c>
      <c r="DC209" s="301">
        <v>0</v>
      </c>
    </row>
    <row r="210" spans="81:107">
      <c r="CC210">
        <f t="shared" si="5"/>
        <v>0</v>
      </c>
      <c r="CD210" s="21">
        <f t="shared" si="6"/>
        <v>0</v>
      </c>
      <c r="CE210" t="s">
        <v>20</v>
      </c>
      <c r="CF210" s="304" t="str">
        <f t="shared" si="7"/>
        <v>0%</v>
      </c>
      <c r="CG210" s="304" t="str">
        <f t="shared" si="8"/>
        <v>0%</v>
      </c>
      <c r="CH210" s="304" t="str">
        <f t="shared" si="9"/>
        <v>0%</v>
      </c>
      <c r="CI210">
        <f t="shared" si="18"/>
        <v>0</v>
      </c>
      <c r="CJ210">
        <f t="shared" si="19"/>
        <v>0</v>
      </c>
      <c r="CK210">
        <f t="shared" si="20"/>
        <v>0</v>
      </c>
      <c r="CL210"/>
      <c r="CM210"/>
      <c r="CN210" s="1">
        <f t="shared" si="10"/>
        <v>0</v>
      </c>
      <c r="CO210" s="21">
        <f t="shared" si="11"/>
        <v>0</v>
      </c>
      <c r="CP210" t="s">
        <v>20</v>
      </c>
      <c r="CQ210" s="304" t="str">
        <f t="shared" si="12"/>
        <v>0%</v>
      </c>
      <c r="CR210" s="304" t="str">
        <f t="shared" si="13"/>
        <v>0%</v>
      </c>
      <c r="CS210" s="304" t="str">
        <f t="shared" si="14"/>
        <v>0%</v>
      </c>
      <c r="CT210">
        <f t="shared" si="15"/>
        <v>0</v>
      </c>
      <c r="CU210">
        <f t="shared" si="16"/>
        <v>0</v>
      </c>
      <c r="CV210">
        <f t="shared" si="17"/>
        <v>0</v>
      </c>
      <c r="CZ210" s="299" t="s">
        <v>411</v>
      </c>
      <c r="DA210" s="302">
        <v>0.33500000000000002</v>
      </c>
      <c r="DB210" s="301">
        <v>0</v>
      </c>
      <c r="DC210" s="301">
        <v>0</v>
      </c>
    </row>
    <row r="211" spans="81:107">
      <c r="CC211">
        <f t="shared" si="5"/>
        <v>0</v>
      </c>
      <c r="CD211" s="21">
        <f t="shared" si="6"/>
        <v>0</v>
      </c>
      <c r="CE211" t="s">
        <v>20</v>
      </c>
      <c r="CF211" s="304">
        <f t="shared" ref="CF211:CH212" si="21">+P20</f>
        <v>0</v>
      </c>
      <c r="CG211" s="304">
        <f t="shared" si="21"/>
        <v>0</v>
      </c>
      <c r="CH211" s="304">
        <f t="shared" si="21"/>
        <v>0</v>
      </c>
      <c r="CI211">
        <f t="shared" si="18"/>
        <v>0</v>
      </c>
      <c r="CJ211">
        <f t="shared" si="19"/>
        <v>0</v>
      </c>
      <c r="CK211">
        <f t="shared" si="20"/>
        <v>0</v>
      </c>
      <c r="CL211"/>
      <c r="CM211"/>
      <c r="CN211" s="1">
        <f t="shared" si="10"/>
        <v>0</v>
      </c>
      <c r="CO211" s="21">
        <f t="shared" si="11"/>
        <v>0</v>
      </c>
      <c r="CP211" t="s">
        <v>20</v>
      </c>
      <c r="CQ211" s="278">
        <f t="shared" ref="CQ211:CS212" si="22">+P20</f>
        <v>0</v>
      </c>
      <c r="CR211" s="278">
        <f t="shared" si="22"/>
        <v>0</v>
      </c>
      <c r="CS211" s="278">
        <f t="shared" si="22"/>
        <v>0</v>
      </c>
      <c r="CT211">
        <f t="shared" si="15"/>
        <v>0</v>
      </c>
      <c r="CU211">
        <f t="shared" si="16"/>
        <v>0</v>
      </c>
      <c r="CV211">
        <f t="shared" si="17"/>
        <v>0</v>
      </c>
    </row>
    <row r="212" spans="81:107">
      <c r="CC212">
        <f t="shared" si="5"/>
        <v>0</v>
      </c>
      <c r="CD212" s="21">
        <f t="shared" si="6"/>
        <v>0</v>
      </c>
      <c r="CE212" t="s">
        <v>20</v>
      </c>
      <c r="CF212" s="304">
        <f t="shared" si="21"/>
        <v>0</v>
      </c>
      <c r="CG212" s="304">
        <f t="shared" si="21"/>
        <v>0</v>
      </c>
      <c r="CH212" s="304">
        <f t="shared" si="21"/>
        <v>0</v>
      </c>
      <c r="CI212">
        <f t="shared" si="18"/>
        <v>0</v>
      </c>
      <c r="CJ212">
        <f t="shared" si="19"/>
        <v>0</v>
      </c>
      <c r="CK212">
        <f t="shared" si="20"/>
        <v>0</v>
      </c>
      <c r="CL212"/>
      <c r="CM212"/>
      <c r="CN212" s="1">
        <f t="shared" si="10"/>
        <v>0</v>
      </c>
      <c r="CO212" s="21">
        <f t="shared" si="11"/>
        <v>0</v>
      </c>
      <c r="CP212" t="s">
        <v>20</v>
      </c>
      <c r="CQ212" s="278">
        <f t="shared" si="22"/>
        <v>0</v>
      </c>
      <c r="CR212" s="278">
        <f t="shared" si="22"/>
        <v>0</v>
      </c>
      <c r="CS212" s="278">
        <f t="shared" si="22"/>
        <v>0</v>
      </c>
      <c r="CT212">
        <f t="shared" si="15"/>
        <v>0</v>
      </c>
      <c r="CU212">
        <f t="shared" si="16"/>
        <v>0</v>
      </c>
      <c r="CV212">
        <f t="shared" si="17"/>
        <v>0</v>
      </c>
    </row>
    <row r="213" spans="81:107">
      <c r="CC213" t="s">
        <v>384</v>
      </c>
      <c r="CD213" s="21">
        <f>+F14/1000</f>
        <v>20</v>
      </c>
      <c r="CE213" t="s">
        <v>2</v>
      </c>
      <c r="CF213" s="310">
        <v>6.4999999999999997E-3</v>
      </c>
      <c r="CG213" s="279">
        <v>3.0000000000000001E-3</v>
      </c>
      <c r="CH213" s="279">
        <v>6.0000000000000001E-3</v>
      </c>
      <c r="CI213">
        <f>CD213*CF213*1000*IF(CD214=1,50%,IF(CD214=2,30%,IF(CD214=3,20%,IF(CD214&gt;3,0))))</f>
        <v>0</v>
      </c>
      <c r="CJ213">
        <f>CD213*CG213*1000*IF(CD214=1,50%,IF(CD214=2,30%,IF(CD214=3,20%,IF(CD214&gt;3,0))))</f>
        <v>0</v>
      </c>
      <c r="CK213">
        <f>CD213*CH213*1000*IF(CD214=1,50%,IF(CD214=2,30%,IF(CD214=3,20%,IF(CD214&gt;3,0))))</f>
        <v>0</v>
      </c>
      <c r="CL213"/>
      <c r="CM213"/>
      <c r="CN213" t="s">
        <v>384</v>
      </c>
      <c r="CO213" s="21">
        <f>+F14/1000</f>
        <v>20</v>
      </c>
      <c r="CP213" t="s">
        <v>2</v>
      </c>
      <c r="CQ213" s="310">
        <v>6.4999999999999997E-3</v>
      </c>
      <c r="CR213" s="279">
        <v>3.0000000000000001E-3</v>
      </c>
      <c r="CS213" s="279">
        <v>6.0000000000000001E-3</v>
      </c>
      <c r="CT213">
        <f>CO213*CQ213*1000*IF(CO214=1,50%,IF(CO214=2,30%,IF(CO214=3,20%,IF(CO214&gt;3,0))))</f>
        <v>0</v>
      </c>
      <c r="CU213">
        <f>CO213*CR213*1000*IF(CO214=1,50%,IF(CO214=2,30%,IF(CO214=3,20%,IF(CO214&gt;3,0))))</f>
        <v>0</v>
      </c>
      <c r="CV213">
        <f>CO213*CS213*1000*IF(CO214=1,50%,IF(CO214=2,30%,IF(CO214=3,20%,IF(CO214&gt;3,0))))</f>
        <v>0</v>
      </c>
    </row>
    <row r="214" spans="81:107">
      <c r="CC214" t="s">
        <v>385</v>
      </c>
      <c r="CD214" s="306">
        <f>+E14</f>
        <v>5</v>
      </c>
      <c r="CE214" s="280" t="s">
        <v>386</v>
      </c>
      <c r="CF214"/>
      <c r="CG214"/>
      <c r="CH214"/>
      <c r="CI214"/>
      <c r="CJ214"/>
      <c r="CK214"/>
      <c r="CL214"/>
      <c r="CM214"/>
      <c r="CN214" t="s">
        <v>385</v>
      </c>
      <c r="CO214" s="306">
        <f>+E14</f>
        <v>5</v>
      </c>
      <c r="CP214" s="280" t="s">
        <v>386</v>
      </c>
      <c r="CQ214"/>
      <c r="CR214"/>
      <c r="CS214"/>
      <c r="CT214"/>
      <c r="CU214"/>
      <c r="CV214"/>
    </row>
    <row r="215" spans="81:107">
      <c r="CC215" t="s">
        <v>76</v>
      </c>
      <c r="CD215"/>
      <c r="CE215"/>
      <c r="CF215"/>
      <c r="CG215"/>
      <c r="CH215"/>
      <c r="CI215">
        <f>SUM(CI206:CI214)</f>
        <v>57.5</v>
      </c>
      <c r="CJ215">
        <f>SUM(CJ206:CJ214)</f>
        <v>62</v>
      </c>
      <c r="CK215">
        <f>SUM(CK206:CK214)</f>
        <v>72</v>
      </c>
      <c r="CL215"/>
      <c r="CM215"/>
      <c r="CN215" t="s">
        <v>76</v>
      </c>
      <c r="CO215"/>
      <c r="CP215"/>
      <c r="CQ215"/>
      <c r="CR215"/>
      <c r="CS215"/>
      <c r="CT215">
        <f>SUM(CT206:CT214)</f>
        <v>57.5</v>
      </c>
      <c r="CU215">
        <f>SUM(CU206:CU214)</f>
        <v>62</v>
      </c>
      <c r="CV215">
        <f>SUM(CV206:CV214)</f>
        <v>72</v>
      </c>
    </row>
    <row r="216" spans="81:107">
      <c r="CC216" s="280" t="s">
        <v>387</v>
      </c>
      <c r="CD216">
        <v>30</v>
      </c>
      <c r="CE216" t="s">
        <v>20</v>
      </c>
      <c r="CF216"/>
      <c r="CG216"/>
      <c r="CH216"/>
      <c r="CI216">
        <f>-CD216</f>
        <v>-30</v>
      </c>
      <c r="CJ216">
        <v>0</v>
      </c>
      <c r="CK216">
        <v>0</v>
      </c>
      <c r="CL216"/>
      <c r="CM216"/>
      <c r="CN216" s="280" t="s">
        <v>387</v>
      </c>
      <c r="CO216">
        <v>30</v>
      </c>
      <c r="CP216" t="s">
        <v>20</v>
      </c>
      <c r="CQ216"/>
      <c r="CR216"/>
      <c r="CS216"/>
      <c r="CT216">
        <f>-CO216</f>
        <v>-30</v>
      </c>
      <c r="CU216">
        <v>0</v>
      </c>
      <c r="CV216">
        <v>0</v>
      </c>
    </row>
    <row r="217" spans="81:107">
      <c r="CC217" s="280" t="s">
        <v>388</v>
      </c>
      <c r="CD217">
        <v>123</v>
      </c>
      <c r="CE217" t="s">
        <v>20</v>
      </c>
      <c r="CF217">
        <v>41</v>
      </c>
      <c r="CG217"/>
      <c r="CH217"/>
      <c r="CI217">
        <f>CD217</f>
        <v>123</v>
      </c>
      <c r="CJ217">
        <v>0</v>
      </c>
      <c r="CK217">
        <v>0</v>
      </c>
      <c r="CL217"/>
      <c r="CM217"/>
      <c r="CN217" s="280" t="s">
        <v>388</v>
      </c>
      <c r="CO217">
        <v>123</v>
      </c>
      <c r="CP217" t="s">
        <v>20</v>
      </c>
      <c r="CQ217"/>
      <c r="CR217"/>
      <c r="CS217"/>
      <c r="CT217">
        <f>CO217</f>
        <v>123</v>
      </c>
      <c r="CU217">
        <v>0</v>
      </c>
      <c r="CV217">
        <v>0</v>
      </c>
    </row>
    <row r="218" spans="81:107">
      <c r="CC218" s="280" t="s">
        <v>389</v>
      </c>
      <c r="CD218" s="281">
        <f>+F8/1000</f>
        <v>3</v>
      </c>
      <c r="CE218" t="s">
        <v>2</v>
      </c>
      <c r="CF218"/>
      <c r="CG218"/>
      <c r="CH218"/>
      <c r="CI218"/>
      <c r="CJ218"/>
      <c r="CK218"/>
      <c r="CL218"/>
      <c r="CM218"/>
      <c r="CN218" s="280" t="s">
        <v>389</v>
      </c>
      <c r="CO218" s="282">
        <f>+CD218</f>
        <v>3</v>
      </c>
      <c r="CP218" t="s">
        <v>2</v>
      </c>
      <c r="CQ218"/>
      <c r="CR218"/>
      <c r="CS218"/>
      <c r="CT218"/>
      <c r="CU218"/>
      <c r="CV218"/>
    </row>
    <row r="219" spans="81:107">
      <c r="CC219" s="311" t="s">
        <v>423</v>
      </c>
      <c r="CD219"/>
      <c r="CE219" t="s">
        <v>390</v>
      </c>
      <c r="CF219"/>
      <c r="CG219"/>
      <c r="CH219"/>
      <c r="CI219" s="283">
        <v>44</v>
      </c>
      <c r="CJ219" s="283">
        <v>15</v>
      </c>
      <c r="CK219" s="283">
        <v>20</v>
      </c>
      <c r="CL219"/>
      <c r="CM219"/>
      <c r="CN219" s="311" t="s">
        <v>423</v>
      </c>
      <c r="CO219"/>
      <c r="CP219" t="s">
        <v>390</v>
      </c>
      <c r="CQ219"/>
      <c r="CR219"/>
      <c r="CS219"/>
      <c r="CT219" s="283">
        <v>65</v>
      </c>
      <c r="CU219" s="283">
        <v>22</v>
      </c>
      <c r="CV219" s="283">
        <v>48</v>
      </c>
    </row>
    <row r="220" spans="81:107" ht="15" thickBot="1">
      <c r="CC220" s="311" t="s">
        <v>423</v>
      </c>
      <c r="CD220"/>
      <c r="CE220" t="s">
        <v>20</v>
      </c>
      <c r="CF220"/>
      <c r="CG220"/>
      <c r="CH220"/>
      <c r="CI220">
        <f>CD218*44</f>
        <v>132</v>
      </c>
      <c r="CJ220">
        <f>CD218*15</f>
        <v>45</v>
      </c>
      <c r="CK220">
        <f>CD218*20</f>
        <v>60</v>
      </c>
      <c r="CL220"/>
      <c r="CM220"/>
      <c r="CN220" s="311" t="s">
        <v>423</v>
      </c>
      <c r="CO220"/>
      <c r="CP220" t="s">
        <v>20</v>
      </c>
      <c r="CQ220"/>
      <c r="CR220"/>
      <c r="CS220"/>
      <c r="CT220">
        <f>CO218*CT219</f>
        <v>195</v>
      </c>
      <c r="CU220">
        <f>CO218*CU219</f>
        <v>66</v>
      </c>
      <c r="CV220">
        <f>CO218*CV219</f>
        <v>144</v>
      </c>
    </row>
    <row r="221" spans="81:107" ht="16.5" thickTop="1" thickBot="1">
      <c r="CC221" s="284" t="s">
        <v>391</v>
      </c>
      <c r="CD221" s="285"/>
      <c r="CE221" s="285" t="s">
        <v>20</v>
      </c>
      <c r="CF221" s="285"/>
      <c r="CG221" s="285"/>
      <c r="CH221" s="285"/>
      <c r="CI221" s="286">
        <f>SUM(CI215:CI217)-CI220</f>
        <v>18.5</v>
      </c>
      <c r="CJ221" s="287">
        <f>CJ215-CJ220</f>
        <v>17</v>
      </c>
      <c r="CK221" s="288">
        <f>CK215-CK220</f>
        <v>12</v>
      </c>
      <c r="CL221"/>
      <c r="CM221"/>
      <c r="CN221" s="284" t="s">
        <v>391</v>
      </c>
      <c r="CO221" s="285"/>
      <c r="CP221" s="285" t="s">
        <v>20</v>
      </c>
      <c r="CQ221" s="285"/>
      <c r="CR221" s="285"/>
      <c r="CS221" s="285"/>
      <c r="CT221" s="285">
        <f>SUM(CT215:CT217)-CT220</f>
        <v>-44.5</v>
      </c>
      <c r="CU221" s="288">
        <f>CU215-CU220</f>
        <v>-4</v>
      </c>
      <c r="CV221" s="288">
        <f>CV215-CV220</f>
        <v>-72</v>
      </c>
    </row>
    <row r="222" spans="81:107" ht="15" thickTop="1"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</row>
    <row r="223" spans="81:107">
      <c r="CC223" t="s">
        <v>5</v>
      </c>
      <c r="CD223"/>
      <c r="CE223"/>
      <c r="CF223"/>
      <c r="CG223"/>
      <c r="CH223"/>
      <c r="CI223" s="303">
        <f>+Inputi!D8</f>
        <v>73.91304347826086</v>
      </c>
      <c r="CJ223" s="303">
        <f>+Inputi!E8</f>
        <v>90.168896321070235</v>
      </c>
      <c r="CK223" s="303">
        <f>+Inputi!F8</f>
        <v>42.600936454849503</v>
      </c>
      <c r="CL223"/>
      <c r="CM223"/>
      <c r="CN223" t="s">
        <v>5</v>
      </c>
      <c r="CO223"/>
      <c r="CP223"/>
      <c r="CQ223"/>
      <c r="CR223"/>
      <c r="CS223"/>
      <c r="CT223" s="303">
        <f>+Inputi!D8</f>
        <v>73.91304347826086</v>
      </c>
      <c r="CU223" s="303">
        <f>+Inputi!E8</f>
        <v>90.168896321070235</v>
      </c>
      <c r="CV223" s="303">
        <f>+Inputi!F8</f>
        <v>42.600936454849503</v>
      </c>
    </row>
    <row r="224" spans="81:107" ht="15">
      <c r="CC224" s="276" t="s">
        <v>392</v>
      </c>
      <c r="CD224" s="289">
        <f>SUMPRODUCT(CI223:CK223,CI215:CK215)</f>
        <v>12907.738996655517</v>
      </c>
      <c r="CE224"/>
      <c r="CF224"/>
      <c r="CG224"/>
      <c r="CH224"/>
      <c r="CI224"/>
      <c r="CJ224"/>
      <c r="CK224"/>
      <c r="CL224"/>
      <c r="CM224"/>
      <c r="CN224" s="276" t="s">
        <v>392</v>
      </c>
      <c r="CO224" s="289">
        <f>SUMPRODUCT(CT223:CV223,CT215:CV215)</f>
        <v>12907.738996655517</v>
      </c>
      <c r="CP224"/>
      <c r="CQ224"/>
      <c r="CR224"/>
      <c r="CS224"/>
      <c r="CT224"/>
      <c r="CU224"/>
      <c r="CV224"/>
    </row>
    <row r="225" spans="81:100" ht="15.75">
      <c r="CC225" s="290" t="s">
        <v>393</v>
      </c>
      <c r="CD225" s="291">
        <f>CI220*CI223+CJ220*CJ223+CK220*CK223</f>
        <v>16370.178260869565</v>
      </c>
      <c r="CE225"/>
      <c r="CF225"/>
      <c r="CG225"/>
      <c r="CH225"/>
      <c r="CI225"/>
      <c r="CJ225"/>
      <c r="CK225"/>
      <c r="CL225"/>
      <c r="CM225"/>
      <c r="CN225" s="290" t="s">
        <v>393</v>
      </c>
      <c r="CO225" s="291">
        <f>CT220*CT223+CU220*CU223+CV220*CV223</f>
        <v>26498.725484949835</v>
      </c>
      <c r="CP225"/>
      <c r="CQ225"/>
      <c r="CR225"/>
      <c r="CS225"/>
      <c r="CT225"/>
      <c r="CU225"/>
      <c r="CV225"/>
    </row>
    <row r="226" spans="81:100" ht="30">
      <c r="CC226" s="309" t="s">
        <v>394</v>
      </c>
      <c r="CD226" s="292">
        <f>CI221*CI223+CJ221*CJ223+CK221*CK223</f>
        <v>3411.4737792642136</v>
      </c>
      <c r="CE226"/>
      <c r="CF226"/>
      <c r="CG226"/>
      <c r="CH226"/>
      <c r="CI226"/>
      <c r="CJ226"/>
      <c r="CK226"/>
      <c r="CL226"/>
      <c r="CM226"/>
      <c r="CN226" s="309" t="s">
        <v>394</v>
      </c>
      <c r="CO226" s="292">
        <f>CT221*CT223+CU221*CU223+CV221*CV223</f>
        <v>-6717.0734448160529</v>
      </c>
      <c r="CP226"/>
      <c r="CQ226"/>
      <c r="CR226"/>
      <c r="CS226"/>
      <c r="CT226"/>
      <c r="CU226"/>
      <c r="CV226"/>
    </row>
  </sheetData>
  <sheetProtection password="B310" sheet="1" objects="1" scenarios="1"/>
  <protectedRanges>
    <protectedRange sqref="P20:R21" name="Range9"/>
    <protectedRange sqref="F96:G96" name="Range5"/>
    <protectedRange sqref="L4:L47" name="Range4"/>
    <protectedRange sqref="D12:I44" name="Range3"/>
    <protectedRange sqref="F4" name="Range1"/>
    <protectedRange sqref="F8:I9" name="Range2"/>
    <protectedRange sqref="I96:J96" name="Range6"/>
    <protectedRange sqref="D98:D99" name="Range7"/>
    <protectedRange sqref="D101:D102" name="Range8"/>
  </protectedRanges>
  <conditionalFormatting sqref="P5">
    <cfRule type="cellIs" dxfId="35" priority="6" operator="lessThan">
      <formula>0</formula>
    </cfRule>
  </conditionalFormatting>
  <conditionalFormatting sqref="Q5">
    <cfRule type="cellIs" dxfId="34" priority="5" operator="lessThan">
      <formula>0</formula>
    </cfRule>
  </conditionalFormatting>
  <conditionalFormatting sqref="R5">
    <cfRule type="cellIs" dxfId="33" priority="4" operator="lessThan">
      <formula>0</formula>
    </cfRule>
  </conditionalFormatting>
  <conditionalFormatting sqref="P7">
    <cfRule type="cellIs" dxfId="32" priority="3" operator="lessThan">
      <formula>0</formula>
    </cfRule>
  </conditionalFormatting>
  <conditionalFormatting sqref="Q7">
    <cfRule type="cellIs" dxfId="31" priority="2" operator="lessThan">
      <formula>0</formula>
    </cfRule>
  </conditionalFormatting>
  <conditionalFormatting sqref="R7">
    <cfRule type="cellIs" dxfId="30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r:id="rId1"/>
  <rowBreaks count="1" manualBreakCount="1">
    <brk id="48" max="9" man="1"/>
  </rowBreaks>
  <ignoredErrors>
    <ignoredError sqref="E100" 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B1:DC224"/>
  <sheetViews>
    <sheetView zoomScale="120" zoomScaleNormal="120" zoomScaleSheetLayoutView="100" workbookViewId="0">
      <selection activeCell="F15" sqref="F15"/>
    </sheetView>
  </sheetViews>
  <sheetFormatPr defaultRowHeight="14.25"/>
  <cols>
    <col min="1" max="1" width="2.7109375" style="3" customWidth="1"/>
    <col min="2" max="2" width="3.5703125" style="3" bestFit="1" customWidth="1"/>
    <col min="3" max="3" width="6.7109375" style="3" customWidth="1"/>
    <col min="4" max="4" width="21.28515625" style="3" customWidth="1"/>
    <col min="5" max="5" width="6.7109375" style="3" customWidth="1"/>
    <col min="6" max="6" width="12" style="3" customWidth="1"/>
    <col min="7" max="7" width="10" style="3" customWidth="1"/>
    <col min="8" max="8" width="10.7109375" style="3" customWidth="1"/>
    <col min="9" max="9" width="10.42578125" style="3" customWidth="1"/>
    <col min="10" max="10" width="14.7109375" style="3" customWidth="1"/>
    <col min="11" max="11" width="2.42578125" style="3" customWidth="1"/>
    <col min="12" max="12" width="10.5703125" style="2" customWidth="1"/>
    <col min="13" max="14" width="2.28515625" style="3" customWidth="1"/>
    <col min="15" max="15" width="20.7109375" style="3" customWidth="1"/>
    <col min="16" max="18" width="9.140625" style="3"/>
    <col min="19" max="19" width="20" style="3" customWidth="1"/>
    <col min="20" max="80" width="9.140625" style="3"/>
    <col min="81" max="81" width="19.140625" style="3" customWidth="1"/>
    <col min="82" max="89" width="9.140625" style="3"/>
    <col min="90" max="91" width="2.42578125" style="3" customWidth="1"/>
    <col min="92" max="92" width="19.140625" style="3" customWidth="1"/>
    <col min="93" max="100" width="9.140625" style="3"/>
    <col min="101" max="103" width="2.85546875" style="3" customWidth="1"/>
    <col min="104" max="104" width="13.42578125" style="3" customWidth="1"/>
    <col min="105" max="16384" width="9.140625" style="3"/>
  </cols>
  <sheetData>
    <row r="1" spans="2:18" ht="23.25">
      <c r="C1" s="82" t="s">
        <v>125</v>
      </c>
      <c r="O1" s="331" t="s">
        <v>426</v>
      </c>
      <c r="P1" s="331"/>
      <c r="Q1" s="331"/>
      <c r="R1" s="331"/>
    </row>
    <row r="2" spans="2:18">
      <c r="O2" s="331" t="s">
        <v>428</v>
      </c>
      <c r="P2" s="331"/>
      <c r="Q2" s="331"/>
      <c r="R2" s="331"/>
    </row>
    <row r="3" spans="2:18" ht="15.75" thickBot="1">
      <c r="C3" s="89" t="s">
        <v>135</v>
      </c>
      <c r="D3" s="89"/>
      <c r="E3" s="89"/>
      <c r="F3" s="89"/>
      <c r="G3" s="89"/>
      <c r="H3" s="89"/>
      <c r="L3" s="81" t="s">
        <v>0</v>
      </c>
      <c r="O3" s="317"/>
      <c r="P3" s="316" t="s">
        <v>381</v>
      </c>
      <c r="Q3" s="316" t="s">
        <v>415</v>
      </c>
      <c r="R3" s="316" t="s">
        <v>416</v>
      </c>
    </row>
    <row r="4" spans="2:18" ht="15.75" thickBot="1">
      <c r="C4" s="90" t="s">
        <v>137</v>
      </c>
      <c r="D4" s="90"/>
      <c r="E4" s="90"/>
      <c r="F4" s="98">
        <v>2018</v>
      </c>
      <c r="L4" s="25"/>
      <c r="O4" s="318" t="s">
        <v>427</v>
      </c>
      <c r="P4" s="319">
        <f t="shared" ref="P4:R5" si="0">+CI218</f>
        <v>77.7</v>
      </c>
      <c r="Q4" s="319">
        <f t="shared" si="0"/>
        <v>77.7</v>
      </c>
      <c r="R4" s="319">
        <f t="shared" si="0"/>
        <v>37</v>
      </c>
    </row>
    <row r="5" spans="2:18" ht="15.75" thickBot="1">
      <c r="L5" s="26"/>
      <c r="O5" s="332" t="s">
        <v>429</v>
      </c>
      <c r="P5" s="333">
        <f t="shared" si="0"/>
        <v>0.5</v>
      </c>
      <c r="Q5" s="333">
        <f t="shared" si="0"/>
        <v>1.5</v>
      </c>
      <c r="R5" s="333">
        <f t="shared" si="0"/>
        <v>11</v>
      </c>
    </row>
    <row r="6" spans="2:18" ht="38.25">
      <c r="E6" s="150" t="s">
        <v>150</v>
      </c>
      <c r="F6" s="123" t="s">
        <v>3</v>
      </c>
      <c r="G6" s="125" t="s">
        <v>4</v>
      </c>
      <c r="H6" s="123" t="s">
        <v>5</v>
      </c>
      <c r="I6" s="125" t="s">
        <v>4</v>
      </c>
      <c r="J6" s="123" t="s">
        <v>63</v>
      </c>
      <c r="L6" s="26"/>
      <c r="O6" s="324" t="s">
        <v>454</v>
      </c>
      <c r="P6" s="323" t="str">
        <f t="shared" ref="P6:R7" si="1">IF($J$9&gt;100,CT218,"0")</f>
        <v>0</v>
      </c>
      <c r="Q6" s="323" t="str">
        <f t="shared" si="1"/>
        <v>0</v>
      </c>
      <c r="R6" s="323" t="str">
        <f t="shared" si="1"/>
        <v>0</v>
      </c>
    </row>
    <row r="7" spans="2:18" ht="15.75" thickBot="1">
      <c r="B7" s="32" t="s">
        <v>6</v>
      </c>
      <c r="C7" s="33" t="s">
        <v>7</v>
      </c>
      <c r="D7" s="34"/>
      <c r="E7" s="35"/>
      <c r="F7" s="4"/>
      <c r="G7" s="4"/>
      <c r="H7" s="4"/>
      <c r="I7" s="4"/>
      <c r="J7" s="4"/>
      <c r="L7" s="27"/>
      <c r="O7" s="332" t="s">
        <v>429</v>
      </c>
      <c r="P7" s="334" t="str">
        <f t="shared" si="1"/>
        <v>0</v>
      </c>
      <c r="Q7" s="335" t="str">
        <f t="shared" si="1"/>
        <v>0</v>
      </c>
      <c r="R7" s="335" t="str">
        <f t="shared" si="1"/>
        <v>0</v>
      </c>
    </row>
    <row r="8" spans="2:18" ht="15">
      <c r="B8" s="5" t="s">
        <v>8</v>
      </c>
      <c r="C8" s="36" t="s">
        <v>180</v>
      </c>
      <c r="E8" s="37">
        <v>1</v>
      </c>
      <c r="F8" s="83">
        <v>3700</v>
      </c>
      <c r="G8" s="6" t="s">
        <v>20</v>
      </c>
      <c r="H8" s="340">
        <v>35</v>
      </c>
      <c r="I8" s="128" t="s">
        <v>21</v>
      </c>
      <c r="J8" s="38">
        <f>E8*F8*H8</f>
        <v>129500</v>
      </c>
      <c r="L8" s="26"/>
    </row>
    <row r="9" spans="2:18" ht="15.75" thickBot="1">
      <c r="B9" s="5" t="s">
        <v>11</v>
      </c>
      <c r="C9" s="29" t="s">
        <v>457</v>
      </c>
      <c r="E9" s="39">
        <v>1</v>
      </c>
      <c r="F9" s="99">
        <v>5</v>
      </c>
      <c r="G9" s="4" t="s">
        <v>2</v>
      </c>
      <c r="H9" s="341"/>
      <c r="I9" s="4" t="s">
        <v>10</v>
      </c>
      <c r="J9" s="40">
        <f>E9*F9*H9</f>
        <v>0</v>
      </c>
      <c r="L9" s="26"/>
    </row>
    <row r="10" spans="2:18" ht="15.75" thickBot="1">
      <c r="B10" s="41"/>
      <c r="C10" s="42" t="s">
        <v>46</v>
      </c>
      <c r="D10" s="43"/>
      <c r="E10" s="43"/>
      <c r="F10" s="44"/>
      <c r="G10" s="45"/>
      <c r="H10" s="44"/>
      <c r="I10" s="45"/>
      <c r="J10" s="46">
        <f>SUM(J8:J9)</f>
        <v>129500</v>
      </c>
      <c r="L10" s="26"/>
    </row>
    <row r="11" spans="2:18" ht="15">
      <c r="B11" s="47" t="s">
        <v>13</v>
      </c>
      <c r="C11" s="29" t="s">
        <v>14</v>
      </c>
      <c r="E11" s="48"/>
      <c r="F11" s="8"/>
      <c r="H11" s="8"/>
      <c r="J11" s="49"/>
      <c r="L11" s="26"/>
    </row>
    <row r="12" spans="2:18">
      <c r="B12" s="5" t="s">
        <v>8</v>
      </c>
      <c r="C12" s="4" t="s">
        <v>15</v>
      </c>
      <c r="E12" s="65">
        <v>1</v>
      </c>
      <c r="F12" s="50">
        <v>1</v>
      </c>
      <c r="G12" s="4" t="s">
        <v>16</v>
      </c>
      <c r="H12" s="51">
        <v>12500</v>
      </c>
      <c r="I12" s="4" t="s">
        <v>17</v>
      </c>
      <c r="J12" s="49">
        <f t="shared" ref="J12" si="2">E12*F12*H12</f>
        <v>12500</v>
      </c>
      <c r="L12" s="26"/>
    </row>
    <row r="13" spans="2:18">
      <c r="B13" s="10" t="s">
        <v>11</v>
      </c>
      <c r="C13" s="4" t="s">
        <v>106</v>
      </c>
      <c r="E13" s="65"/>
      <c r="F13" s="9"/>
      <c r="G13" s="4"/>
      <c r="H13" s="9"/>
      <c r="I13" s="4"/>
      <c r="J13" s="49"/>
      <c r="L13" s="26"/>
    </row>
    <row r="14" spans="2:18">
      <c r="C14" s="11"/>
      <c r="D14" s="52" t="s">
        <v>19</v>
      </c>
      <c r="E14" s="305">
        <v>1</v>
      </c>
      <c r="F14" s="51">
        <v>0</v>
      </c>
      <c r="G14" s="3" t="s">
        <v>96</v>
      </c>
      <c r="H14" s="66">
        <v>0</v>
      </c>
      <c r="I14" s="3" t="s">
        <v>21</v>
      </c>
      <c r="J14" s="49">
        <f>H14*F14*IF(E14=1,0.5, IF(E14=2,0.3,IF(E14=3,0.2,"0")))</f>
        <v>0</v>
      </c>
      <c r="L14" s="26" t="s">
        <v>420</v>
      </c>
    </row>
    <row r="15" spans="2:18">
      <c r="D15" s="52" t="s">
        <v>399</v>
      </c>
      <c r="E15" s="65">
        <v>1</v>
      </c>
      <c r="F15" s="51">
        <v>300</v>
      </c>
      <c r="G15" s="3" t="s">
        <v>96</v>
      </c>
      <c r="H15" s="66">
        <v>40</v>
      </c>
      <c r="I15" s="3" t="s">
        <v>21</v>
      </c>
      <c r="J15" s="49">
        <f t="shared" ref="J15:J44" si="3">E15*F15*H15</f>
        <v>12000</v>
      </c>
      <c r="L15" s="26"/>
    </row>
    <row r="16" spans="2:18">
      <c r="D16" s="52" t="s">
        <v>409</v>
      </c>
      <c r="E16" s="65">
        <v>1</v>
      </c>
      <c r="F16" s="51">
        <v>50</v>
      </c>
      <c r="G16" s="3" t="s">
        <v>96</v>
      </c>
      <c r="H16" s="66">
        <v>34</v>
      </c>
      <c r="I16" s="3" t="s">
        <v>21</v>
      </c>
      <c r="J16" s="49">
        <f t="shared" si="3"/>
        <v>1700</v>
      </c>
      <c r="L16" s="26"/>
    </row>
    <row r="17" spans="2:18">
      <c r="D17" s="52" t="s">
        <v>413</v>
      </c>
      <c r="E17" s="65">
        <v>1</v>
      </c>
      <c r="F17" s="51">
        <v>60</v>
      </c>
      <c r="G17" s="3" t="s">
        <v>96</v>
      </c>
      <c r="H17" s="66">
        <v>51.5</v>
      </c>
      <c r="I17" s="3" t="s">
        <v>21</v>
      </c>
      <c r="J17" s="49">
        <f t="shared" si="3"/>
        <v>3090</v>
      </c>
      <c r="L17" s="26" t="s">
        <v>431</v>
      </c>
    </row>
    <row r="18" spans="2:18">
      <c r="D18" s="52"/>
      <c r="E18" s="65">
        <v>1</v>
      </c>
      <c r="F18" s="51"/>
      <c r="G18" s="3" t="s">
        <v>96</v>
      </c>
      <c r="H18" s="66"/>
      <c r="I18" s="3" t="s">
        <v>21</v>
      </c>
      <c r="J18" s="49">
        <f t="shared" si="3"/>
        <v>0</v>
      </c>
      <c r="L18" s="26"/>
    </row>
    <row r="19" spans="2:18" ht="15">
      <c r="D19" s="52"/>
      <c r="E19" s="65">
        <v>1</v>
      </c>
      <c r="F19" s="51"/>
      <c r="G19" s="3" t="s">
        <v>96</v>
      </c>
      <c r="H19" s="66"/>
      <c r="I19" s="3" t="s">
        <v>21</v>
      </c>
      <c r="J19" s="49">
        <f t="shared" si="3"/>
        <v>0</v>
      </c>
      <c r="L19" s="26"/>
      <c r="P19" s="307" t="s">
        <v>381</v>
      </c>
      <c r="Q19" s="307" t="s">
        <v>415</v>
      </c>
      <c r="R19" s="307" t="s">
        <v>416</v>
      </c>
    </row>
    <row r="20" spans="2:18">
      <c r="D20" s="320"/>
      <c r="E20" s="65">
        <v>1</v>
      </c>
      <c r="F20" s="51"/>
      <c r="G20" s="3" t="s">
        <v>96</v>
      </c>
      <c r="H20" s="66"/>
      <c r="I20" s="3" t="s">
        <v>21</v>
      </c>
      <c r="J20" s="49">
        <f t="shared" si="3"/>
        <v>0</v>
      </c>
      <c r="L20" s="321" t="s">
        <v>430</v>
      </c>
      <c r="P20" s="308">
        <v>0</v>
      </c>
      <c r="Q20" s="308">
        <v>0</v>
      </c>
      <c r="R20" s="308">
        <v>0</v>
      </c>
    </row>
    <row r="21" spans="2:18">
      <c r="D21" s="320"/>
      <c r="E21" s="65">
        <v>1</v>
      </c>
      <c r="F21" s="51"/>
      <c r="G21" s="3" t="s">
        <v>96</v>
      </c>
      <c r="H21" s="66"/>
      <c r="I21" s="3" t="s">
        <v>21</v>
      </c>
      <c r="J21" s="49">
        <f t="shared" si="3"/>
        <v>0</v>
      </c>
      <c r="L21" s="321" t="s">
        <v>430</v>
      </c>
      <c r="P21" s="308">
        <v>0</v>
      </c>
      <c r="Q21" s="308">
        <v>0</v>
      </c>
      <c r="R21" s="308">
        <v>0</v>
      </c>
    </row>
    <row r="22" spans="2:18">
      <c r="B22" s="10" t="s">
        <v>22</v>
      </c>
      <c r="C22" s="17" t="s">
        <v>23</v>
      </c>
      <c r="E22" s="31"/>
      <c r="J22" s="49"/>
      <c r="L22" s="26"/>
    </row>
    <row r="23" spans="2:18">
      <c r="D23" s="52" t="s">
        <v>191</v>
      </c>
      <c r="E23" s="65">
        <v>1</v>
      </c>
      <c r="F23" s="66">
        <v>2</v>
      </c>
      <c r="G23" s="3" t="s">
        <v>93</v>
      </c>
      <c r="H23" s="99">
        <v>800</v>
      </c>
      <c r="I23" s="3" t="s">
        <v>34</v>
      </c>
      <c r="J23" s="49">
        <f t="shared" si="3"/>
        <v>1600</v>
      </c>
      <c r="L23" s="26"/>
    </row>
    <row r="24" spans="2:18">
      <c r="D24" s="52" t="s">
        <v>126</v>
      </c>
      <c r="E24" s="65">
        <v>1</v>
      </c>
      <c r="F24" s="66">
        <v>1</v>
      </c>
      <c r="G24" s="3" t="s">
        <v>93</v>
      </c>
      <c r="H24" s="51">
        <v>620</v>
      </c>
      <c r="I24" s="3" t="s">
        <v>34</v>
      </c>
      <c r="J24" s="49">
        <f t="shared" si="3"/>
        <v>620</v>
      </c>
      <c r="L24" s="26"/>
    </row>
    <row r="25" spans="2:18">
      <c r="D25" s="52" t="s">
        <v>127</v>
      </c>
      <c r="E25" s="65">
        <v>1</v>
      </c>
      <c r="F25" s="66">
        <v>1.5</v>
      </c>
      <c r="H25" s="51">
        <v>1550</v>
      </c>
      <c r="I25" s="3" t="s">
        <v>34</v>
      </c>
      <c r="J25" s="49">
        <f t="shared" si="3"/>
        <v>2325</v>
      </c>
      <c r="L25" s="26"/>
    </row>
    <row r="26" spans="2:18">
      <c r="D26" s="52" t="s">
        <v>27</v>
      </c>
      <c r="E26" s="65">
        <v>1</v>
      </c>
      <c r="F26" s="66"/>
      <c r="H26" s="51"/>
      <c r="J26" s="49">
        <f t="shared" si="3"/>
        <v>0</v>
      </c>
      <c r="L26" s="26"/>
    </row>
    <row r="27" spans="2:18">
      <c r="D27" s="52" t="s">
        <v>28</v>
      </c>
      <c r="E27" s="65">
        <v>1</v>
      </c>
      <c r="F27" s="66"/>
      <c r="H27" s="51"/>
      <c r="J27" s="49">
        <f t="shared" si="3"/>
        <v>0</v>
      </c>
      <c r="L27" s="26"/>
    </row>
    <row r="28" spans="2:18">
      <c r="D28" s="52" t="s">
        <v>29</v>
      </c>
      <c r="E28" s="65">
        <v>1</v>
      </c>
      <c r="F28" s="66"/>
      <c r="H28" s="51"/>
      <c r="J28" s="49">
        <f t="shared" si="3"/>
        <v>0</v>
      </c>
      <c r="L28" s="26"/>
    </row>
    <row r="29" spans="2:18">
      <c r="B29" s="10" t="s">
        <v>30</v>
      </c>
      <c r="C29" s="3" t="s">
        <v>52</v>
      </c>
      <c r="E29" s="31"/>
      <c r="H29" s="8"/>
      <c r="J29" s="49"/>
      <c r="L29" s="26"/>
    </row>
    <row r="30" spans="2:18">
      <c r="C30" s="11" t="s">
        <v>56</v>
      </c>
      <c r="D30" s="17" t="s">
        <v>56</v>
      </c>
      <c r="E30" s="39">
        <v>1</v>
      </c>
      <c r="F30" s="66">
        <v>15</v>
      </c>
      <c r="G30" s="3" t="s">
        <v>93</v>
      </c>
      <c r="H30" s="51">
        <v>145</v>
      </c>
      <c r="I30" s="3" t="s">
        <v>34</v>
      </c>
      <c r="J30" s="49">
        <f t="shared" si="3"/>
        <v>2175</v>
      </c>
      <c r="L30" s="26" t="s">
        <v>104</v>
      </c>
    </row>
    <row r="31" spans="2:18">
      <c r="B31" s="10" t="s">
        <v>35</v>
      </c>
      <c r="C31" s="3" t="s">
        <v>54</v>
      </c>
      <c r="E31" s="39">
        <v>1</v>
      </c>
      <c r="F31" s="66">
        <v>55</v>
      </c>
      <c r="G31" s="3" t="s">
        <v>93</v>
      </c>
      <c r="H31" s="51">
        <f>Inputi!G11</f>
        <v>145</v>
      </c>
      <c r="I31" s="3" t="s">
        <v>34</v>
      </c>
      <c r="J31" s="49">
        <f t="shared" si="3"/>
        <v>7975</v>
      </c>
      <c r="L31" s="26"/>
    </row>
    <row r="32" spans="2:18">
      <c r="B32" s="10" t="s">
        <v>40</v>
      </c>
      <c r="C32" s="3" t="s">
        <v>55</v>
      </c>
      <c r="E32" s="39">
        <v>1</v>
      </c>
      <c r="F32" s="3">
        <v>1</v>
      </c>
      <c r="G32" s="3" t="s">
        <v>1</v>
      </c>
      <c r="H32" s="8">
        <f>Inputi!$F$43*F31</f>
        <v>3639.166666666667</v>
      </c>
      <c r="I32" s="3" t="s">
        <v>37</v>
      </c>
      <c r="J32" s="49">
        <f t="shared" si="3"/>
        <v>3639.166666666667</v>
      </c>
      <c r="L32" s="26"/>
    </row>
    <row r="33" spans="2:12">
      <c r="B33" s="10" t="s">
        <v>60</v>
      </c>
      <c r="C33" s="3" t="s">
        <v>58</v>
      </c>
      <c r="E33" s="31"/>
      <c r="H33" s="8"/>
      <c r="J33" s="49"/>
      <c r="L33" s="26"/>
    </row>
    <row r="34" spans="2:12">
      <c r="B34" s="10"/>
      <c r="C34" s="67"/>
      <c r="D34" s="68" t="s">
        <v>59</v>
      </c>
      <c r="E34" s="65">
        <v>1</v>
      </c>
      <c r="F34" s="66"/>
      <c r="G34" s="3" t="s">
        <v>1</v>
      </c>
      <c r="H34" s="51"/>
      <c r="I34" s="3" t="s">
        <v>37</v>
      </c>
      <c r="J34" s="49">
        <f t="shared" si="3"/>
        <v>0</v>
      </c>
      <c r="L34" s="26"/>
    </row>
    <row r="35" spans="2:12">
      <c r="B35" s="10"/>
      <c r="C35" s="67"/>
      <c r="D35" s="68" t="s">
        <v>65</v>
      </c>
      <c r="E35" s="65">
        <v>1</v>
      </c>
      <c r="F35" s="66"/>
      <c r="G35" s="3" t="s">
        <v>1</v>
      </c>
      <c r="H35" s="51"/>
      <c r="I35" s="3" t="s">
        <v>37</v>
      </c>
      <c r="J35" s="49">
        <f t="shared" si="3"/>
        <v>0</v>
      </c>
      <c r="L35" s="26"/>
    </row>
    <row r="36" spans="2:12">
      <c r="B36" s="10"/>
      <c r="C36" s="67"/>
      <c r="D36" s="68" t="s">
        <v>38</v>
      </c>
      <c r="E36" s="65">
        <v>1</v>
      </c>
      <c r="F36" s="66">
        <v>1</v>
      </c>
      <c r="G36" s="3" t="s">
        <v>1</v>
      </c>
      <c r="H36" s="51">
        <v>2200</v>
      </c>
      <c r="I36" s="3" t="s">
        <v>37</v>
      </c>
      <c r="J36" s="49">
        <f t="shared" si="3"/>
        <v>2200</v>
      </c>
      <c r="L36" s="26"/>
    </row>
    <row r="37" spans="2:12">
      <c r="B37" s="10"/>
      <c r="C37" s="67"/>
      <c r="D37" s="68" t="s">
        <v>118</v>
      </c>
      <c r="E37" s="65">
        <v>1</v>
      </c>
      <c r="F37" s="66">
        <v>1</v>
      </c>
      <c r="G37" s="3" t="s">
        <v>1</v>
      </c>
      <c r="H37" s="51">
        <v>11000</v>
      </c>
      <c r="I37" s="3" t="s">
        <v>37</v>
      </c>
      <c r="J37" s="49">
        <f t="shared" si="3"/>
        <v>11000</v>
      </c>
      <c r="L37" s="26"/>
    </row>
    <row r="38" spans="2:12">
      <c r="C38" s="67"/>
      <c r="D38" s="68"/>
      <c r="E38" s="65">
        <v>1</v>
      </c>
      <c r="F38" s="66"/>
      <c r="G38" s="3" t="s">
        <v>1</v>
      </c>
      <c r="H38" s="51"/>
      <c r="I38" s="3" t="s">
        <v>37</v>
      </c>
      <c r="J38" s="49">
        <f t="shared" si="3"/>
        <v>0</v>
      </c>
      <c r="L38" s="26"/>
    </row>
    <row r="39" spans="2:12">
      <c r="C39" s="69"/>
      <c r="D39" s="66"/>
      <c r="E39" s="65">
        <v>1</v>
      </c>
      <c r="F39" s="66"/>
      <c r="G39" s="3" t="s">
        <v>1</v>
      </c>
      <c r="H39" s="51"/>
      <c r="I39" s="3" t="s">
        <v>37</v>
      </c>
      <c r="J39" s="49">
        <f t="shared" si="3"/>
        <v>0</v>
      </c>
      <c r="L39" s="26"/>
    </row>
    <row r="40" spans="2:12">
      <c r="B40" s="10" t="s">
        <v>62</v>
      </c>
      <c r="C40" s="3" t="s">
        <v>57</v>
      </c>
      <c r="E40" s="65">
        <v>1</v>
      </c>
      <c r="F40" s="66">
        <v>0</v>
      </c>
      <c r="G40" s="3" t="s">
        <v>100</v>
      </c>
      <c r="H40" s="51">
        <v>0</v>
      </c>
      <c r="I40" s="3" t="s">
        <v>105</v>
      </c>
      <c r="J40" s="49">
        <f t="shared" si="3"/>
        <v>0</v>
      </c>
      <c r="L40" s="26" t="s">
        <v>119</v>
      </c>
    </row>
    <row r="41" spans="2:12">
      <c r="B41" s="10" t="s">
        <v>67</v>
      </c>
      <c r="C41" s="3" t="s">
        <v>271</v>
      </c>
      <c r="E41" s="31"/>
      <c r="H41" s="8"/>
      <c r="J41" s="49"/>
      <c r="L41" s="26"/>
    </row>
    <row r="42" spans="2:12">
      <c r="D42" s="66" t="s">
        <v>95</v>
      </c>
      <c r="E42" s="39">
        <v>1</v>
      </c>
      <c r="F42" s="51">
        <v>3100</v>
      </c>
      <c r="G42" s="3" t="s">
        <v>96</v>
      </c>
      <c r="H42" s="99">
        <v>0.5</v>
      </c>
      <c r="I42" s="3" t="s">
        <v>21</v>
      </c>
      <c r="J42" s="49">
        <f t="shared" si="3"/>
        <v>1550</v>
      </c>
      <c r="L42" s="26"/>
    </row>
    <row r="43" spans="2:12">
      <c r="D43" s="66"/>
      <c r="E43" s="39">
        <v>1</v>
      </c>
      <c r="F43" s="51">
        <v>3100</v>
      </c>
      <c r="G43" s="3" t="s">
        <v>96</v>
      </c>
      <c r="H43" s="99"/>
      <c r="I43" s="3" t="s">
        <v>21</v>
      </c>
      <c r="J43" s="49">
        <f t="shared" si="3"/>
        <v>0</v>
      </c>
      <c r="L43" s="26"/>
    </row>
    <row r="44" spans="2:12" ht="15" thickBot="1">
      <c r="B44" s="3" t="s">
        <v>68</v>
      </c>
      <c r="C44" s="67" t="s">
        <v>374</v>
      </c>
      <c r="D44" s="4"/>
      <c r="E44" s="65">
        <v>1</v>
      </c>
      <c r="F44" s="209">
        <v>1</v>
      </c>
      <c r="G44" s="4" t="s">
        <v>1</v>
      </c>
      <c r="H44" s="51">
        <v>2100</v>
      </c>
      <c r="I44" s="3" t="s">
        <v>37</v>
      </c>
      <c r="J44" s="49">
        <f t="shared" si="3"/>
        <v>2100</v>
      </c>
      <c r="L44" s="26"/>
    </row>
    <row r="45" spans="2:12" ht="15.75" thickBot="1">
      <c r="B45" s="41"/>
      <c r="C45" s="42" t="s">
        <v>101</v>
      </c>
      <c r="D45" s="43"/>
      <c r="E45" s="43"/>
      <c r="F45" s="44"/>
      <c r="G45" s="45"/>
      <c r="H45" s="44"/>
      <c r="I45" s="45"/>
      <c r="J45" s="46">
        <f>SUM(J12:J44)</f>
        <v>64474.166666666664</v>
      </c>
      <c r="L45" s="26"/>
    </row>
    <row r="46" spans="2:12" ht="15.75" thickBot="1">
      <c r="B46" s="70" t="s">
        <v>103</v>
      </c>
      <c r="C46" s="71" t="s">
        <v>102</v>
      </c>
      <c r="D46" s="71"/>
      <c r="E46" s="72"/>
      <c r="F46" s="72"/>
      <c r="G46" s="72"/>
      <c r="H46" s="73"/>
      <c r="I46" s="72"/>
      <c r="J46" s="28">
        <f>J10-J45</f>
        <v>65025.833333333336</v>
      </c>
      <c r="L46" s="26"/>
    </row>
    <row r="47" spans="2:12" ht="16.5" thickTop="1" thickBot="1">
      <c r="B47" s="70" t="s">
        <v>403</v>
      </c>
      <c r="C47" s="71" t="s">
        <v>418</v>
      </c>
      <c r="D47" s="71"/>
      <c r="E47" s="72"/>
      <c r="F47" s="72"/>
      <c r="G47" s="72"/>
      <c r="H47" s="73"/>
      <c r="I47" s="72"/>
      <c r="J47" s="28">
        <f>J10-J45+IF(J9&gt;100,CO224,IF(J9&lt;100,CD224,"0"))</f>
        <v>65629.696978818291</v>
      </c>
      <c r="L47" s="64"/>
    </row>
    <row r="48" spans="2:12" ht="15" thickTop="1"/>
    <row r="49" spans="2:8" ht="15.75" thickBot="1">
      <c r="C49" s="89" t="s">
        <v>254</v>
      </c>
      <c r="D49" s="90"/>
      <c r="E49" s="90"/>
      <c r="F49" s="90"/>
      <c r="G49" s="90"/>
      <c r="H49" s="90"/>
    </row>
    <row r="50" spans="2:8" ht="15" thickBot="1"/>
    <row r="51" spans="2:8" ht="15.75" thickTop="1">
      <c r="C51" s="74" t="s">
        <v>7</v>
      </c>
      <c r="D51" s="75"/>
      <c r="E51" s="75"/>
      <c r="F51" s="76" t="s">
        <v>107</v>
      </c>
    </row>
    <row r="52" spans="2:8">
      <c r="C52" s="53" t="s">
        <v>180</v>
      </c>
      <c r="F52" s="8">
        <f>J8</f>
        <v>129500</v>
      </c>
    </row>
    <row r="53" spans="2:8" ht="15" thickBot="1">
      <c r="C53" s="54" t="s">
        <v>363</v>
      </c>
      <c r="F53" s="8">
        <f>J9</f>
        <v>0</v>
      </c>
    </row>
    <row r="54" spans="2:8" ht="15.75" thickBot="1">
      <c r="B54" s="55"/>
      <c r="C54" s="42" t="s">
        <v>46</v>
      </c>
      <c r="D54" s="43"/>
      <c r="E54" s="43"/>
      <c r="F54" s="56">
        <f>J10</f>
        <v>129500</v>
      </c>
    </row>
    <row r="55" spans="2:8" ht="15">
      <c r="B55" s="55"/>
      <c r="C55" s="29" t="s">
        <v>14</v>
      </c>
      <c r="F55" s="8"/>
    </row>
    <row r="56" spans="2:8">
      <c r="C56" s="54" t="s">
        <v>15</v>
      </c>
      <c r="F56" s="8">
        <f>J12</f>
        <v>12500</v>
      </c>
    </row>
    <row r="57" spans="2:8">
      <c r="C57" s="54" t="s">
        <v>106</v>
      </c>
      <c r="F57" s="8">
        <f>SUM(J14:J21)</f>
        <v>16790</v>
      </c>
    </row>
    <row r="58" spans="2:8">
      <c r="C58" s="54" t="s">
        <v>23</v>
      </c>
      <c r="F58" s="8">
        <f>SUM(J23:J28)</f>
        <v>4545</v>
      </c>
    </row>
    <row r="59" spans="2:8">
      <c r="C59" s="54" t="s">
        <v>52</v>
      </c>
      <c r="F59" s="8">
        <f>J30</f>
        <v>2175</v>
      </c>
    </row>
    <row r="60" spans="2:8">
      <c r="C60" s="54" t="s">
        <v>54</v>
      </c>
      <c r="F60" s="8">
        <f>J31</f>
        <v>7975</v>
      </c>
    </row>
    <row r="61" spans="2:8">
      <c r="C61" s="54" t="s">
        <v>55</v>
      </c>
      <c r="F61" s="8">
        <f>J32</f>
        <v>3639.166666666667</v>
      </c>
    </row>
    <row r="62" spans="2:8">
      <c r="C62" s="54" t="s">
        <v>58</v>
      </c>
      <c r="F62" s="8">
        <f>SUM(J34:J39)</f>
        <v>13200</v>
      </c>
    </row>
    <row r="63" spans="2:8">
      <c r="C63" s="54" t="s">
        <v>53</v>
      </c>
      <c r="F63" s="8">
        <f>J40</f>
        <v>0</v>
      </c>
    </row>
    <row r="64" spans="2:8">
      <c r="C64" s="54" t="s">
        <v>271</v>
      </c>
      <c r="F64" s="8">
        <f>SUM(J42:J43)</f>
        <v>1550</v>
      </c>
    </row>
    <row r="65" spans="3:6" ht="15" thickBot="1">
      <c r="C65" s="199" t="s">
        <v>374</v>
      </c>
      <c r="F65" s="8">
        <f>J44</f>
        <v>2100</v>
      </c>
    </row>
    <row r="66" spans="3:6" ht="15.75" thickBot="1">
      <c r="C66" s="42" t="s">
        <v>101</v>
      </c>
      <c r="D66" s="43"/>
      <c r="E66" s="43"/>
      <c r="F66" s="56">
        <f>SUM(F56:F65)</f>
        <v>64474.166666666664</v>
      </c>
    </row>
    <row r="67" spans="3:6" ht="15.75" thickBot="1">
      <c r="C67" s="71" t="s">
        <v>42</v>
      </c>
      <c r="D67" s="72"/>
      <c r="E67" s="72"/>
      <c r="F67" s="77">
        <f>F54-F66</f>
        <v>65025.833333333336</v>
      </c>
    </row>
    <row r="68" spans="3:6" ht="15.75" thickTop="1">
      <c r="C68" s="96"/>
      <c r="D68" s="97"/>
      <c r="E68" s="97"/>
      <c r="F68" s="63"/>
    </row>
    <row r="93" spans="4:10" ht="15.75" thickBot="1">
      <c r="D93" s="89" t="s">
        <v>185</v>
      </c>
      <c r="E93" s="90"/>
      <c r="F93" s="90"/>
      <c r="G93" s="90"/>
      <c r="H93" s="90"/>
      <c r="I93" s="90"/>
      <c r="J93" s="90"/>
    </row>
    <row r="95" spans="4:10" ht="15.75" thickBot="1">
      <c r="D95" s="12"/>
      <c r="E95" s="13"/>
      <c r="F95" s="14"/>
      <c r="G95" s="57"/>
      <c r="H95" s="57" t="s">
        <v>160</v>
      </c>
      <c r="I95" s="57"/>
      <c r="J95" s="79"/>
    </row>
    <row r="96" spans="4:10">
      <c r="D96" s="15"/>
      <c r="E96" s="16"/>
      <c r="F96" s="154">
        <v>-0.2</v>
      </c>
      <c r="G96" s="154">
        <v>-0.1</v>
      </c>
      <c r="H96" s="59" t="s">
        <v>110</v>
      </c>
      <c r="I96" s="154">
        <v>0.1</v>
      </c>
      <c r="J96" s="155">
        <v>0.2</v>
      </c>
    </row>
    <row r="97" spans="4:10" ht="15.75" thickBot="1">
      <c r="D97" s="60" t="s">
        <v>109</v>
      </c>
      <c r="E97" s="61"/>
      <c r="F97" s="92">
        <f>H97*(1+F96)</f>
        <v>28</v>
      </c>
      <c r="G97" s="92">
        <f>H97*(1+G96)</f>
        <v>31.5</v>
      </c>
      <c r="H97" s="92">
        <f>H8</f>
        <v>35</v>
      </c>
      <c r="I97" s="93">
        <f>$H$97*(1+I96)</f>
        <v>38.5</v>
      </c>
      <c r="J97" s="94">
        <f>$H$97*(1+J96)</f>
        <v>42</v>
      </c>
    </row>
    <row r="98" spans="4:10" ht="15">
      <c r="D98" s="152">
        <v>-0.2</v>
      </c>
      <c r="E98" s="62">
        <f>$E$100*(1+D98)</f>
        <v>2960</v>
      </c>
      <c r="F98" s="88">
        <f>$H$98-$E$98*($H$97-F97)</f>
        <v>19009.696978818291</v>
      </c>
      <c r="G98" s="88">
        <f>$H$98-$E$98*($H$97-G97)</f>
        <v>29369.696978818291</v>
      </c>
      <c r="H98" s="88">
        <f>$H$100-($E$100-E98)*$H$97</f>
        <v>39729.696978818291</v>
      </c>
      <c r="I98" s="84">
        <f>$H$98+$E$98*(I97-$H$97)</f>
        <v>50089.696978818291</v>
      </c>
      <c r="J98" s="85">
        <f>$H$98+$E$98*(J97-$H$97)</f>
        <v>60449.696978818291</v>
      </c>
    </row>
    <row r="99" spans="4:10" ht="15">
      <c r="D99" s="152">
        <v>-0.1</v>
      </c>
      <c r="E99" s="62">
        <f>$E$100*(1+D99)</f>
        <v>3330</v>
      </c>
      <c r="F99" s="88">
        <f>$H$99-$E$99*($H$97-F97)</f>
        <v>29369.696978818291</v>
      </c>
      <c r="G99" s="88">
        <f>$H$99-$E$99*($H$97-G97)</f>
        <v>41024.696978818291</v>
      </c>
      <c r="H99" s="88">
        <f>$H$100-($E$100-E99)*$H$97</f>
        <v>52679.696978818291</v>
      </c>
      <c r="I99" s="88">
        <f>$H$99+$E$99*(I97-$H$97)</f>
        <v>64334.696978818291</v>
      </c>
      <c r="J99" s="91">
        <f>$H$99+$E$99*(J97-$H$97)</f>
        <v>75989.696978818291</v>
      </c>
    </row>
    <row r="100" spans="4:10" ht="15">
      <c r="D100" s="18" t="s">
        <v>43</v>
      </c>
      <c r="E100" s="62">
        <f>F8</f>
        <v>3700</v>
      </c>
      <c r="F100" s="88">
        <f>$H$100-$E$100*($H$97-F97)</f>
        <v>39729.696978818291</v>
      </c>
      <c r="G100" s="88">
        <f>$H$100-$E$100*($H$97-G97)</f>
        <v>52679.696978818291</v>
      </c>
      <c r="H100" s="63">
        <f>J47</f>
        <v>65629.696978818291</v>
      </c>
      <c r="I100" s="84">
        <f>$H$100+$E$100*(I97-$H$97)</f>
        <v>78579.696978818291</v>
      </c>
      <c r="J100" s="85">
        <f>$H$100+$E$100*(J97-$H$97)</f>
        <v>91529.696978818291</v>
      </c>
    </row>
    <row r="101" spans="4:10" ht="15">
      <c r="D101" s="152">
        <v>0.1</v>
      </c>
      <c r="E101" s="78">
        <f>$E$100*(1+D101)</f>
        <v>4070.0000000000005</v>
      </c>
      <c r="F101" s="84">
        <f>$H$101-$E$101*($H$97-F97)</f>
        <v>50089.696978818305</v>
      </c>
      <c r="G101" s="84">
        <f>$H$101-$E$101*($H$97-G97)</f>
        <v>64334.696978818305</v>
      </c>
      <c r="H101" s="88">
        <f>$H$100-($E$100-E101)*$H$97</f>
        <v>78579.696978818305</v>
      </c>
      <c r="I101" s="84">
        <f>$H$101+$E$101*(I97-$H$97)</f>
        <v>92824.696978818305</v>
      </c>
      <c r="J101" s="85">
        <f>$H$101+$E$101*(J97-$H$97)</f>
        <v>107069.69697881831</v>
      </c>
    </row>
    <row r="102" spans="4:10" ht="15">
      <c r="D102" s="153">
        <v>0.2</v>
      </c>
      <c r="E102" s="80">
        <f>$E$100*(1+D102)</f>
        <v>4440</v>
      </c>
      <c r="F102" s="86">
        <f>$H$102-$E$102*($H$97-F97)</f>
        <v>60449.696978818291</v>
      </c>
      <c r="G102" s="86">
        <f>$H$102-$E$102*($H$97-G97)</f>
        <v>75989.696978818291</v>
      </c>
      <c r="H102" s="95">
        <f>$H$100-($E$100-E102)*$H$97</f>
        <v>91529.696978818291</v>
      </c>
      <c r="I102" s="86">
        <f>$H$102+$E$102*(I97-$H$97)</f>
        <v>107069.69697881829</v>
      </c>
      <c r="J102" s="87">
        <f>$H$102+$E$102*(J97-$H$97)</f>
        <v>122609.69697881829</v>
      </c>
    </row>
    <row r="203" spans="81:107" ht="15.75">
      <c r="CC203" s="269" t="s">
        <v>375</v>
      </c>
      <c r="CD203" s="270"/>
      <c r="CE203" s="270"/>
      <c r="CF203" s="270"/>
      <c r="CG203" s="270"/>
      <c r="CH203" s="270"/>
      <c r="CI203" s="270"/>
      <c r="CJ203" s="270"/>
      <c r="CK203" s="270"/>
      <c r="CL203"/>
      <c r="CM203"/>
      <c r="CN203" s="271" t="s">
        <v>414</v>
      </c>
      <c r="CO203" s="272"/>
      <c r="CP203" s="272"/>
      <c r="CQ203" s="272"/>
      <c r="CR203" s="272"/>
      <c r="CS203" s="272"/>
      <c r="CT203" s="272"/>
      <c r="CU203" s="272"/>
      <c r="CV203" s="272"/>
      <c r="CZ203" s="298" t="s">
        <v>408</v>
      </c>
      <c r="DA203" s="300">
        <v>0.15</v>
      </c>
      <c r="DB203" s="300">
        <v>0.15</v>
      </c>
      <c r="DC203" s="300">
        <v>0.15</v>
      </c>
    </row>
    <row r="204" spans="81:107" ht="15.75">
      <c r="CC204" s="273" t="s">
        <v>376</v>
      </c>
      <c r="CD204" s="273" t="s">
        <v>377</v>
      </c>
      <c r="CE204" s="273" t="s">
        <v>378</v>
      </c>
      <c r="CF204" s="274" t="s">
        <v>379</v>
      </c>
      <c r="CG204" s="274"/>
      <c r="CH204" s="274"/>
      <c r="CI204" s="274" t="s">
        <v>380</v>
      </c>
      <c r="CJ204" s="274"/>
      <c r="CK204" s="275"/>
      <c r="CL204"/>
      <c r="CM204"/>
      <c r="CN204" s="273" t="s">
        <v>376</v>
      </c>
      <c r="CO204" s="273" t="s">
        <v>377</v>
      </c>
      <c r="CP204" s="273" t="s">
        <v>378</v>
      </c>
      <c r="CQ204" s="274" t="s">
        <v>379</v>
      </c>
      <c r="CR204" s="274"/>
      <c r="CS204" s="274"/>
      <c r="CT204" s="274" t="s">
        <v>380</v>
      </c>
      <c r="CU204" s="274"/>
      <c r="CV204" s="275"/>
      <c r="CZ204" s="298" t="s">
        <v>399</v>
      </c>
      <c r="DA204" s="300">
        <v>0.16</v>
      </c>
      <c r="DB204" s="300">
        <v>0.16</v>
      </c>
      <c r="DC204" s="300">
        <v>0.16</v>
      </c>
    </row>
    <row r="205" spans="81:107" ht="18">
      <c r="CC205"/>
      <c r="CD205"/>
      <c r="CE205"/>
      <c r="CF205" s="276" t="s">
        <v>381</v>
      </c>
      <c r="CG205" s="276" t="s">
        <v>382</v>
      </c>
      <c r="CH205" s="276" t="s">
        <v>383</v>
      </c>
      <c r="CI205" s="276" t="s">
        <v>381</v>
      </c>
      <c r="CJ205" s="276" t="s">
        <v>382</v>
      </c>
      <c r="CK205" s="276" t="s">
        <v>383</v>
      </c>
      <c r="CL205"/>
      <c r="CM205"/>
      <c r="CN205"/>
      <c r="CO205"/>
      <c r="CP205"/>
      <c r="CQ205" s="276" t="s">
        <v>381</v>
      </c>
      <c r="CR205" s="276" t="s">
        <v>382</v>
      </c>
      <c r="CS205" s="276" t="s">
        <v>383</v>
      </c>
      <c r="CT205" s="276" t="s">
        <v>381</v>
      </c>
      <c r="CU205" s="276" t="s">
        <v>382</v>
      </c>
      <c r="CV205" s="276" t="s">
        <v>383</v>
      </c>
      <c r="CZ205" s="298" t="s">
        <v>407</v>
      </c>
      <c r="DA205" s="300">
        <v>0.06</v>
      </c>
      <c r="DB205" s="300">
        <v>0.12</v>
      </c>
      <c r="DC205" s="300">
        <v>0.24</v>
      </c>
    </row>
    <row r="206" spans="81:107">
      <c r="CC206" t="str">
        <f>+D15</f>
        <v>NPK 16:16:16</v>
      </c>
      <c r="CD206" s="21">
        <f>+F15</f>
        <v>300</v>
      </c>
      <c r="CE206" t="s">
        <v>20</v>
      </c>
      <c r="CF206" s="304">
        <f>IF($CC206=$CZ$203,$DA$203,IF($CC206=$CZ$204,$DA$204,IF($CC206=$CZ$205,$DA$205,IF($CC206=$CZ$206,$DA$206, IF($CC206=$CZ$207,$DA$207,IF($CC206=$CZ$208,$DA$208,IF($CC206=$CZ$209,$DA$209,IF($CC206=$CZ$210,$DA$210,"0%"))))))))</f>
        <v>0.16</v>
      </c>
      <c r="CG206" s="304">
        <f>IF($CC206=$CZ$203,$DB$203,IF($CC206=$CZ$204,$DB$204,IF($CC206=$CZ$205,$DB$205,IF($CC206=$CZ$206,$DB$206, IF($CC206=$CZ$207,$DB$207,IF($CC206=$CZ$208,$DB$208,IF($CC206=$CZ$209,$DB$209,IF($CC206=$CZ$210,$DB$210,"0%"))))))))</f>
        <v>0.16</v>
      </c>
      <c r="CH206" s="304">
        <f>IF($CC206=$CZ$203,$DC$203,IF($CC206=$CZ$204,$DC$204,IF($CC206=$CZ$205,$DC$205,IF($CC206=$CZ$206,$DC$206, IF($CC206=$CZ$207,$DC$207,IF($CC206=$CZ$208,$DC$208,IF($CC206=$CZ$209,$DC$209,IF($CC206=$CZ$210,$DC$210,"0%"))))))))</f>
        <v>0.16</v>
      </c>
      <c r="CI206">
        <f>$CD206*CF206</f>
        <v>48</v>
      </c>
      <c r="CJ206">
        <f t="shared" ref="CJ206:CK212" si="4">$CD206*CG206</f>
        <v>48</v>
      </c>
      <c r="CK206">
        <f t="shared" si="4"/>
        <v>48</v>
      </c>
      <c r="CL206"/>
      <c r="CM206"/>
      <c r="CN206" s="1" t="str">
        <f>D15</f>
        <v>NPK 16:16:16</v>
      </c>
      <c r="CO206" s="21">
        <f>+F15</f>
        <v>300</v>
      </c>
      <c r="CP206" t="s">
        <v>20</v>
      </c>
      <c r="CQ206" s="304">
        <f>IF($CC206=$CZ$203,$DA$203,IF($CC206=$CZ$204,$DA$204,IF($CC206=$CZ$205,$DA$205,IF($CC206=$CZ$206,$DA$206, IF($CC206=$CZ$207,$DA$207,IF($CC206=$CZ$208,$DA$208,IF($CC206=$CZ$209,$DA$209,IF($CC206=$CZ$210,$DA$210,"0%"))))))))</f>
        <v>0.16</v>
      </c>
      <c r="CR206" s="304">
        <f>IF($CC206=$CZ$203,$DB$203,IF($CC206=$CZ$204,$DB$204,IF($CC206=$CZ$205,$DB$205,IF($CC206=$CZ$206,$DB$206, IF($CC206=$CZ$207,$DB$207,IF($CC206=$CZ$208,$DB$208,IF($CC206=$CZ$209,$DB$209,IF($CC206=$CZ$210,$DB$210,"0%"))))))))</f>
        <v>0.16</v>
      </c>
      <c r="CS206" s="304">
        <f>IF($CC206=$CZ$203,$DC$203,IF($CC206=$CZ$204,$DC$204,IF($CC206=$CZ$205,$DC$205,IF($CC206=$CZ$206,$DC$206, IF($CC206=$CZ$207,$DC$207,IF($CC206=$CZ$208,$DC$208,IF($CC206=$CZ$209,$DC$209,IF($CC206=$CZ$210,$DC$210,"0%"))))))))</f>
        <v>0.16</v>
      </c>
      <c r="CT206">
        <f>CO206*CQ206</f>
        <v>48</v>
      </c>
      <c r="CU206">
        <f>CO206*CR206</f>
        <v>48</v>
      </c>
      <c r="CV206">
        <f>CO206*CS206</f>
        <v>48</v>
      </c>
      <c r="CZ206" s="299" t="s">
        <v>412</v>
      </c>
      <c r="DA206" s="301">
        <v>0.11</v>
      </c>
      <c r="DB206" s="301">
        <v>0.52</v>
      </c>
      <c r="DC206" s="301">
        <v>0</v>
      </c>
    </row>
    <row r="207" spans="81:107">
      <c r="CC207" t="str">
        <f t="shared" ref="CC207:CC212" si="5">+D16</f>
        <v>UREA 46:0:0</v>
      </c>
      <c r="CD207" s="21">
        <f t="shared" ref="CD207:CD212" si="6">+F16</f>
        <v>50</v>
      </c>
      <c r="CE207" t="s">
        <v>20</v>
      </c>
      <c r="CF207" s="304">
        <f t="shared" ref="CF207:CF210" si="7">IF($CC207=$CZ$203,$DA$203,IF($CC207=$CZ$204,$DA$204,IF($CC207=$CZ$205,$DA$205,IF($CC207=CZ$206,$DA$206, IF($CC207=CZ$207,$DA$207,IF($CC207=$CZ$208,$DA$208,IF($CC207=$CZ$209,$DA$209,IF($CC207=$CZ$210,$DA$210,"0%"))))))))</f>
        <v>0.46</v>
      </c>
      <c r="CG207" s="304">
        <f t="shared" ref="CG207:CG210" si="8">IF($CC207=$CZ$203,$DB$203,IF($CC207=$CZ$204,$DB$204,IF($CC207=$CZ$205,$DB$205,IF($CC207=$CZ$206,$DB$206, IF($CC207=$CZ$207,$DB$207,IF($CC207=$CZ$208,$DB$208,IF($CC207=$CZ$209,$DB$209,IF($CC207=$CZ$210,$DB$210,"0%"))))))))</f>
        <v>0</v>
      </c>
      <c r="CH207" s="304">
        <f t="shared" ref="CH207:CH210" si="9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23</v>
      </c>
      <c r="CJ207">
        <f t="shared" si="4"/>
        <v>0</v>
      </c>
      <c r="CK207">
        <f t="shared" si="4"/>
        <v>0</v>
      </c>
      <c r="CL207"/>
      <c r="CM207"/>
      <c r="CN207" s="1" t="str">
        <f t="shared" ref="CN207:CN212" si="10">D16</f>
        <v>UREA 46:0:0</v>
      </c>
      <c r="CO207" s="21">
        <f t="shared" ref="CO207:CO212" si="11">+F16</f>
        <v>50</v>
      </c>
      <c r="CP207" t="s">
        <v>20</v>
      </c>
      <c r="CQ207" s="304">
        <f t="shared" ref="CQ207:CQ210" si="12">IF($CC207=$CZ$203,$DA$203,IF($CC207=$CZ$204,$DA$204,IF($CC207=$CZ$205,$DA$205,IF($CC207=$CZ$206,$DA$206, IF($CC207=$CZ$207,$DA$207,IF($CC207=$CZ$208,$DA$208,IF($CC207=$CZ$209,$DA$209,IF($CC207=$CZ$210,$DA$210,"0%"))))))))</f>
        <v>0.46</v>
      </c>
      <c r="CR207" s="304">
        <f t="shared" ref="CR207:CR210" si="13">IF($CC207=$CZ$203,$DB$203,IF($CC207=$CZ$204,$DB$204,IF($CC207=$CZ$205,$DB$205,IF($CC207=$CZ$206,$DB$206, IF($CC207=$CZ$207,$DB$207,IF($CC207=$CZ$208,$DB$208,IF($CC207=$CZ$209,$DB$209,IF($CC207=$CZ$210,$DB$210,"0%"))))))))</f>
        <v>0</v>
      </c>
      <c r="CS207" s="304">
        <f t="shared" ref="CS207:CS210" si="14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5">CO207*CQ207</f>
        <v>23</v>
      </c>
      <c r="CU207">
        <f t="shared" ref="CU207:CU212" si="16">CO207*CR207</f>
        <v>0</v>
      </c>
      <c r="CV207">
        <f t="shared" ref="CV207:CV212" si="17">CO207*CS207</f>
        <v>0</v>
      </c>
      <c r="CZ207" s="299" t="s">
        <v>413</v>
      </c>
      <c r="DA207" s="301">
        <v>0.12</v>
      </c>
      <c r="DB207" s="301">
        <v>0.52</v>
      </c>
      <c r="DC207" s="301">
        <v>0</v>
      </c>
    </row>
    <row r="208" spans="81:107">
      <c r="CC208" t="str">
        <f t="shared" si="5"/>
        <v>MAP 12:52:0</v>
      </c>
      <c r="CD208" s="21">
        <f t="shared" si="6"/>
        <v>60</v>
      </c>
      <c r="CE208" t="s">
        <v>20</v>
      </c>
      <c r="CF208" s="304">
        <f t="shared" si="7"/>
        <v>0.12</v>
      </c>
      <c r="CG208" s="304">
        <f t="shared" si="8"/>
        <v>0.52</v>
      </c>
      <c r="CH208" s="304">
        <f t="shared" si="9"/>
        <v>0</v>
      </c>
      <c r="CI208">
        <f t="shared" ref="CI208:CI212" si="18">$CD208*CF208</f>
        <v>7.1999999999999993</v>
      </c>
      <c r="CJ208">
        <f t="shared" si="4"/>
        <v>31.200000000000003</v>
      </c>
      <c r="CK208">
        <f t="shared" si="4"/>
        <v>0</v>
      </c>
      <c r="CL208"/>
      <c r="CM208"/>
      <c r="CN208" s="1" t="str">
        <f t="shared" si="10"/>
        <v>MAP 12:52:0</v>
      </c>
      <c r="CO208" s="21">
        <f t="shared" si="11"/>
        <v>60</v>
      </c>
      <c r="CP208" t="s">
        <v>20</v>
      </c>
      <c r="CQ208" s="304">
        <f t="shared" si="12"/>
        <v>0.12</v>
      </c>
      <c r="CR208" s="304">
        <f t="shared" si="13"/>
        <v>0.52</v>
      </c>
      <c r="CS208" s="304">
        <f t="shared" si="14"/>
        <v>0</v>
      </c>
      <c r="CT208">
        <f t="shared" si="15"/>
        <v>7.1999999999999993</v>
      </c>
      <c r="CU208">
        <f t="shared" si="16"/>
        <v>31.200000000000003</v>
      </c>
      <c r="CV208">
        <f t="shared" si="17"/>
        <v>0</v>
      </c>
      <c r="CZ208" s="298" t="s">
        <v>409</v>
      </c>
      <c r="DA208" s="301">
        <v>0.46</v>
      </c>
      <c r="DB208" s="301">
        <v>0</v>
      </c>
      <c r="DC208" s="301">
        <v>0</v>
      </c>
    </row>
    <row r="209" spans="81:107">
      <c r="CC209">
        <f t="shared" si="5"/>
        <v>0</v>
      </c>
      <c r="CD209" s="21">
        <f t="shared" si="6"/>
        <v>0</v>
      </c>
      <c r="CE209" t="s">
        <v>20</v>
      </c>
      <c r="CF209" s="304" t="str">
        <f t="shared" si="7"/>
        <v>0%</v>
      </c>
      <c r="CG209" s="304" t="str">
        <f t="shared" si="8"/>
        <v>0%</v>
      </c>
      <c r="CH209" s="304" t="str">
        <f t="shared" si="9"/>
        <v>0%</v>
      </c>
      <c r="CI209">
        <f t="shared" si="18"/>
        <v>0</v>
      </c>
      <c r="CJ209">
        <f t="shared" si="4"/>
        <v>0</v>
      </c>
      <c r="CK209">
        <f t="shared" si="4"/>
        <v>0</v>
      </c>
      <c r="CL209"/>
      <c r="CM209"/>
      <c r="CN209" s="1">
        <f t="shared" si="10"/>
        <v>0</v>
      </c>
      <c r="CO209" s="21">
        <f t="shared" si="11"/>
        <v>0</v>
      </c>
      <c r="CP209" t="s">
        <v>20</v>
      </c>
      <c r="CQ209" s="304" t="str">
        <f t="shared" si="12"/>
        <v>0%</v>
      </c>
      <c r="CR209" s="304" t="str">
        <f t="shared" si="13"/>
        <v>0%</v>
      </c>
      <c r="CS209" s="304" t="str">
        <f t="shared" si="14"/>
        <v>0%</v>
      </c>
      <c r="CT209">
        <f t="shared" si="15"/>
        <v>0</v>
      </c>
      <c r="CU209">
        <f t="shared" si="16"/>
        <v>0</v>
      </c>
      <c r="CV209">
        <f t="shared" si="17"/>
        <v>0</v>
      </c>
      <c r="CZ209" s="298" t="s">
        <v>410</v>
      </c>
      <c r="DA209" s="301">
        <v>0.27</v>
      </c>
      <c r="DB209" s="301">
        <v>0</v>
      </c>
      <c r="DC209" s="301">
        <v>0</v>
      </c>
    </row>
    <row r="210" spans="81:107">
      <c r="CC210">
        <f t="shared" si="5"/>
        <v>0</v>
      </c>
      <c r="CD210" s="21">
        <f t="shared" si="6"/>
        <v>0</v>
      </c>
      <c r="CE210" t="s">
        <v>20</v>
      </c>
      <c r="CF210" s="304" t="str">
        <f t="shared" si="7"/>
        <v>0%</v>
      </c>
      <c r="CG210" s="304" t="str">
        <f t="shared" si="8"/>
        <v>0%</v>
      </c>
      <c r="CH210" s="304" t="str">
        <f t="shared" si="9"/>
        <v>0%</v>
      </c>
      <c r="CI210">
        <f t="shared" si="18"/>
        <v>0</v>
      </c>
      <c r="CJ210">
        <f t="shared" si="4"/>
        <v>0</v>
      </c>
      <c r="CK210">
        <f t="shared" si="4"/>
        <v>0</v>
      </c>
      <c r="CL210"/>
      <c r="CM210"/>
      <c r="CN210" s="1">
        <f t="shared" si="10"/>
        <v>0</v>
      </c>
      <c r="CO210" s="21">
        <f t="shared" si="11"/>
        <v>0</v>
      </c>
      <c r="CP210" t="s">
        <v>20</v>
      </c>
      <c r="CQ210" s="304" t="str">
        <f t="shared" si="12"/>
        <v>0%</v>
      </c>
      <c r="CR210" s="304" t="str">
        <f t="shared" si="13"/>
        <v>0%</v>
      </c>
      <c r="CS210" s="304" t="str">
        <f t="shared" si="14"/>
        <v>0%</v>
      </c>
      <c r="CT210">
        <f t="shared" si="15"/>
        <v>0</v>
      </c>
      <c r="CU210">
        <f t="shared" si="16"/>
        <v>0</v>
      </c>
      <c r="CV210">
        <f t="shared" si="17"/>
        <v>0</v>
      </c>
      <c r="CZ210" s="299" t="s">
        <v>411</v>
      </c>
      <c r="DA210" s="302">
        <v>0.33500000000000002</v>
      </c>
      <c r="DB210" s="301">
        <v>0</v>
      </c>
      <c r="DC210" s="301">
        <v>0</v>
      </c>
    </row>
    <row r="211" spans="81:107">
      <c r="CC211">
        <f t="shared" si="5"/>
        <v>0</v>
      </c>
      <c r="CD211" s="21">
        <f t="shared" si="6"/>
        <v>0</v>
      </c>
      <c r="CE211" t="s">
        <v>20</v>
      </c>
      <c r="CF211" s="304">
        <f t="shared" ref="CF211:CH212" si="19">+P20</f>
        <v>0</v>
      </c>
      <c r="CG211" s="304">
        <f t="shared" si="19"/>
        <v>0</v>
      </c>
      <c r="CH211" s="304">
        <f t="shared" si="19"/>
        <v>0</v>
      </c>
      <c r="CI211">
        <f t="shared" si="18"/>
        <v>0</v>
      </c>
      <c r="CJ211">
        <f t="shared" si="4"/>
        <v>0</v>
      </c>
      <c r="CK211">
        <f t="shared" si="4"/>
        <v>0</v>
      </c>
      <c r="CL211"/>
      <c r="CM211"/>
      <c r="CN211" s="1">
        <f t="shared" si="10"/>
        <v>0</v>
      </c>
      <c r="CO211" s="21">
        <f t="shared" si="11"/>
        <v>0</v>
      </c>
      <c r="CP211" t="s">
        <v>20</v>
      </c>
      <c r="CQ211" s="278">
        <f t="shared" ref="CQ211:CS212" si="20">+P20</f>
        <v>0</v>
      </c>
      <c r="CR211" s="278">
        <f t="shared" si="20"/>
        <v>0</v>
      </c>
      <c r="CS211" s="278">
        <f t="shared" si="20"/>
        <v>0</v>
      </c>
      <c r="CT211">
        <f t="shared" si="15"/>
        <v>0</v>
      </c>
      <c r="CU211">
        <f t="shared" si="16"/>
        <v>0</v>
      </c>
      <c r="CV211">
        <f t="shared" si="17"/>
        <v>0</v>
      </c>
    </row>
    <row r="212" spans="81:107">
      <c r="CC212">
        <f t="shared" si="5"/>
        <v>0</v>
      </c>
      <c r="CD212" s="21">
        <f t="shared" si="6"/>
        <v>0</v>
      </c>
      <c r="CE212" t="s">
        <v>20</v>
      </c>
      <c r="CF212" s="304">
        <f t="shared" si="19"/>
        <v>0</v>
      </c>
      <c r="CG212" s="304">
        <f t="shared" si="19"/>
        <v>0</v>
      </c>
      <c r="CH212" s="304">
        <f t="shared" si="19"/>
        <v>0</v>
      </c>
      <c r="CI212">
        <f t="shared" si="18"/>
        <v>0</v>
      </c>
      <c r="CJ212">
        <f t="shared" si="4"/>
        <v>0</v>
      </c>
      <c r="CK212">
        <f t="shared" si="4"/>
        <v>0</v>
      </c>
      <c r="CL212"/>
      <c r="CM212"/>
      <c r="CN212" s="1">
        <f t="shared" si="10"/>
        <v>0</v>
      </c>
      <c r="CO212" s="21">
        <f t="shared" si="11"/>
        <v>0</v>
      </c>
      <c r="CP212" t="s">
        <v>20</v>
      </c>
      <c r="CQ212" s="278">
        <f t="shared" si="20"/>
        <v>0</v>
      </c>
      <c r="CR212" s="278">
        <f t="shared" si="20"/>
        <v>0</v>
      </c>
      <c r="CS212" s="278">
        <f t="shared" si="20"/>
        <v>0</v>
      </c>
      <c r="CT212">
        <f t="shared" si="15"/>
        <v>0</v>
      </c>
      <c r="CU212">
        <f t="shared" si="16"/>
        <v>0</v>
      </c>
      <c r="CV212">
        <f t="shared" si="17"/>
        <v>0</v>
      </c>
    </row>
    <row r="213" spans="81:107">
      <c r="CC213" t="s">
        <v>384</v>
      </c>
      <c r="CD213" s="21">
        <f>+F14/1000</f>
        <v>0</v>
      </c>
      <c r="CE213" t="s">
        <v>2</v>
      </c>
      <c r="CF213" s="310">
        <v>6.4999999999999997E-3</v>
      </c>
      <c r="CG213" s="279">
        <v>3.0000000000000001E-3</v>
      </c>
      <c r="CH213" s="279">
        <v>6.0000000000000001E-3</v>
      </c>
      <c r="CI213">
        <f>CD213*CF213*1000*IF(CD214=1,50%,IF(CD214=2,30%,IF(CD214=3,20%,IF(CD214&gt;3,0))))</f>
        <v>0</v>
      </c>
      <c r="CJ213">
        <f>CD213*CG213*1000*IF(CD214=1,50%,IF(CD214=2,30%,IF(CD214=3,20%,IF(CD214&gt;3,0))))</f>
        <v>0</v>
      </c>
      <c r="CK213">
        <f>CD213*CH213*1000*IF(CD214=1,50%,IF(CD214=2,30%,IF(CD214=3,20%,IF(CD214&gt;3,0))))</f>
        <v>0</v>
      </c>
      <c r="CL213"/>
      <c r="CM213"/>
      <c r="CN213" t="s">
        <v>384</v>
      </c>
      <c r="CO213" s="21">
        <f>+F14/1000</f>
        <v>0</v>
      </c>
      <c r="CP213" t="s">
        <v>2</v>
      </c>
      <c r="CQ213" s="310">
        <v>6.4999999999999997E-3</v>
      </c>
      <c r="CR213" s="279">
        <v>3.0000000000000001E-3</v>
      </c>
      <c r="CS213" s="279">
        <v>6.0000000000000001E-3</v>
      </c>
      <c r="CT213">
        <f>CO213*CQ213*1000*IF(CO214=1,50%,IF(CO214=2,30%,IF(CO214=3,20%,IF(CO214&gt;3,0))))</f>
        <v>0</v>
      </c>
      <c r="CU213">
        <f>CO213*CR213*1000*IF(CO214=1,50%,IF(CO214=2,30%,IF(CO214=3,20%,IF(CO214&gt;3,0))))</f>
        <v>0</v>
      </c>
      <c r="CV213">
        <f>CO213*CS213*1000*IF(CO214=1,50%,IF(CO214=2,30%,IF(CO214=3,20%,IF(CO214&gt;3,0))))</f>
        <v>0</v>
      </c>
    </row>
    <row r="214" spans="81:107">
      <c r="CC214" t="s">
        <v>385</v>
      </c>
      <c r="CD214" s="306">
        <f>+E14</f>
        <v>1</v>
      </c>
      <c r="CE214" s="280" t="s">
        <v>386</v>
      </c>
      <c r="CF214"/>
      <c r="CG214"/>
      <c r="CH214"/>
      <c r="CI214"/>
      <c r="CJ214"/>
      <c r="CK214"/>
      <c r="CL214"/>
      <c r="CM214"/>
      <c r="CN214" t="s">
        <v>385</v>
      </c>
      <c r="CO214" s="306">
        <f>+E14</f>
        <v>1</v>
      </c>
      <c r="CP214" s="280" t="s">
        <v>386</v>
      </c>
      <c r="CQ214"/>
      <c r="CR214"/>
      <c r="CS214"/>
      <c r="CT214"/>
      <c r="CU214"/>
      <c r="CV214"/>
    </row>
    <row r="215" spans="81:107">
      <c r="CC215" t="s">
        <v>76</v>
      </c>
      <c r="CD215"/>
      <c r="CE215"/>
      <c r="CF215"/>
      <c r="CG215"/>
      <c r="CH215"/>
      <c r="CI215">
        <f>SUM(CI206:CI214)</f>
        <v>78.2</v>
      </c>
      <c r="CJ215">
        <f>SUM(CJ206:CJ214)</f>
        <v>79.2</v>
      </c>
      <c r="CK215">
        <f>SUM(CK206:CK214)</f>
        <v>48</v>
      </c>
      <c r="CL215"/>
      <c r="CM215"/>
      <c r="CN215" t="s">
        <v>76</v>
      </c>
      <c r="CO215"/>
      <c r="CP215"/>
      <c r="CQ215"/>
      <c r="CR215"/>
      <c r="CS215"/>
      <c r="CT215">
        <f>SUM(CT206:CT214)</f>
        <v>78.2</v>
      </c>
      <c r="CU215">
        <f>SUM(CU206:CU214)</f>
        <v>79.2</v>
      </c>
      <c r="CV215">
        <f>SUM(CV206:CV214)</f>
        <v>48</v>
      </c>
    </row>
    <row r="216" spans="81:107">
      <c r="CC216" s="311" t="s">
        <v>437</v>
      </c>
      <c r="CD216" s="281">
        <f>+F8/1000</f>
        <v>3.7</v>
      </c>
      <c r="CE216" t="s">
        <v>2</v>
      </c>
      <c r="CF216"/>
      <c r="CG216"/>
      <c r="CH216"/>
      <c r="CI216"/>
      <c r="CJ216"/>
      <c r="CK216"/>
      <c r="CL216"/>
      <c r="CM216"/>
      <c r="CN216" s="311" t="s">
        <v>437</v>
      </c>
      <c r="CO216" s="282">
        <f>+CD216</f>
        <v>3.7</v>
      </c>
      <c r="CP216" t="s">
        <v>2</v>
      </c>
      <c r="CQ216"/>
      <c r="CR216"/>
      <c r="CS216"/>
      <c r="CT216"/>
      <c r="CU216"/>
      <c r="CV216"/>
    </row>
    <row r="217" spans="81:107">
      <c r="CC217" s="311" t="s">
        <v>423</v>
      </c>
      <c r="CD217"/>
      <c r="CE217" t="s">
        <v>390</v>
      </c>
      <c r="CF217"/>
      <c r="CG217"/>
      <c r="CH217"/>
      <c r="CI217" s="283">
        <v>21</v>
      </c>
      <c r="CJ217" s="283">
        <v>21</v>
      </c>
      <c r="CK217" s="283">
        <v>10</v>
      </c>
      <c r="CL217"/>
      <c r="CM217"/>
      <c r="CN217" s="311" t="s">
        <v>423</v>
      </c>
      <c r="CO217"/>
      <c r="CP217" t="s">
        <v>390</v>
      </c>
      <c r="CQ217"/>
      <c r="CR217"/>
      <c r="CS217"/>
      <c r="CT217" s="283">
        <v>35</v>
      </c>
      <c r="CU217" s="283">
        <v>30</v>
      </c>
      <c r="CV217" s="283">
        <v>80</v>
      </c>
    </row>
    <row r="218" spans="81:107" ht="15" thickBot="1">
      <c r="CC218" s="311" t="s">
        <v>423</v>
      </c>
      <c r="CD218"/>
      <c r="CE218" t="s">
        <v>20</v>
      </c>
      <c r="CF218"/>
      <c r="CG218"/>
      <c r="CH218"/>
      <c r="CI218">
        <f>CD216*CI217</f>
        <v>77.7</v>
      </c>
      <c r="CJ218">
        <f>CD216*CJ217</f>
        <v>77.7</v>
      </c>
      <c r="CK218">
        <f>CD216*CK217</f>
        <v>37</v>
      </c>
      <c r="CL218"/>
      <c r="CM218"/>
      <c r="CN218" s="311" t="s">
        <v>423</v>
      </c>
      <c r="CO218"/>
      <c r="CP218" t="s">
        <v>20</v>
      </c>
      <c r="CQ218"/>
      <c r="CR218"/>
      <c r="CS218"/>
      <c r="CT218">
        <f>CO216*CT217</f>
        <v>129.5</v>
      </c>
      <c r="CU218">
        <f>CO216*CU217</f>
        <v>111</v>
      </c>
      <c r="CV218">
        <f>CO216*CV217</f>
        <v>296</v>
      </c>
    </row>
    <row r="219" spans="81:107" ht="16.5" thickTop="1" thickBot="1">
      <c r="CC219" s="284" t="s">
        <v>391</v>
      </c>
      <c r="CD219" s="285"/>
      <c r="CE219" s="285" t="s">
        <v>20</v>
      </c>
      <c r="CF219" s="285"/>
      <c r="CG219" s="285"/>
      <c r="CH219" s="285"/>
      <c r="CI219" s="286">
        <f>SUM(CI215:CI215)-CI218</f>
        <v>0.5</v>
      </c>
      <c r="CJ219" s="287">
        <f>CJ215-CJ218</f>
        <v>1.5</v>
      </c>
      <c r="CK219" s="288">
        <f>CK215-CK218</f>
        <v>11</v>
      </c>
      <c r="CL219"/>
      <c r="CM219"/>
      <c r="CN219" s="284" t="s">
        <v>391</v>
      </c>
      <c r="CO219" s="285"/>
      <c r="CP219" s="285" t="s">
        <v>20</v>
      </c>
      <c r="CQ219" s="285"/>
      <c r="CR219" s="285"/>
      <c r="CS219" s="285"/>
      <c r="CT219" s="285">
        <f>SUM(CT215:CT215)-CT218</f>
        <v>-51.3</v>
      </c>
      <c r="CU219" s="288">
        <f>CU215-CU218</f>
        <v>-31.799999999999997</v>
      </c>
      <c r="CV219" s="288">
        <f>CV215-CV218</f>
        <v>-248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303">
        <f>+Inputi!D8</f>
        <v>73.91304347826086</v>
      </c>
      <c r="CJ221" s="303">
        <f>+Inputi!E8</f>
        <v>90.168896321070235</v>
      </c>
      <c r="CK221" s="303">
        <f>+Inputi!F8</f>
        <v>42.600936454849503</v>
      </c>
      <c r="CL221"/>
      <c r="CM221"/>
      <c r="CN221" t="s">
        <v>5</v>
      </c>
      <c r="CO221"/>
      <c r="CP221"/>
      <c r="CQ221"/>
      <c r="CR221"/>
      <c r="CS221"/>
      <c r="CT221" s="303">
        <f>+Inputi!D8</f>
        <v>73.91304347826086</v>
      </c>
      <c r="CU221" s="303">
        <f>+Inputi!E8</f>
        <v>90.168896321070235</v>
      </c>
      <c r="CV221" s="303">
        <f>+Inputi!F8</f>
        <v>42.600936454849503</v>
      </c>
    </row>
    <row r="222" spans="81:107" ht="15">
      <c r="CC222" s="276" t="s">
        <v>392</v>
      </c>
      <c r="CD222" s="289">
        <f>SUMPRODUCT(CI221:CK221,CI215:CK215)</f>
        <v>14966.221538461537</v>
      </c>
      <c r="CE222"/>
      <c r="CF222"/>
      <c r="CG222"/>
      <c r="CH222"/>
      <c r="CI222"/>
      <c r="CJ222"/>
      <c r="CK222"/>
      <c r="CL222"/>
      <c r="CM222"/>
      <c r="CN222" s="276" t="s">
        <v>392</v>
      </c>
      <c r="CO222" s="289">
        <f>SUMPRODUCT(CT221:CV221,CT215:CV215)</f>
        <v>14966.221538461537</v>
      </c>
      <c r="CP222"/>
      <c r="CQ222"/>
      <c r="CR222"/>
      <c r="CS222"/>
      <c r="CT222"/>
      <c r="CU222"/>
      <c r="CV222"/>
    </row>
    <row r="223" spans="81:107" ht="15.75">
      <c r="CC223" s="290" t="s">
        <v>393</v>
      </c>
      <c r="CD223" s="291">
        <f>CI218*CI221+CJ218*CJ221+CK218*CK221</f>
        <v>14325.401371237458</v>
      </c>
      <c r="CE223"/>
      <c r="CF223"/>
      <c r="CG223"/>
      <c r="CH223"/>
      <c r="CI223"/>
      <c r="CJ223"/>
      <c r="CK223"/>
      <c r="CL223"/>
      <c r="CM223"/>
      <c r="CN223" s="290" t="s">
        <v>393</v>
      </c>
      <c r="CO223" s="291">
        <f>CT218*CT221+CU218*CU221+CV218*CV221</f>
        <v>32190.363812709031</v>
      </c>
      <c r="CP223"/>
      <c r="CQ223"/>
      <c r="CR223"/>
      <c r="CS223"/>
      <c r="CT223"/>
      <c r="CU223"/>
      <c r="CV223"/>
    </row>
    <row r="224" spans="81:107" ht="30">
      <c r="CC224" s="309" t="s">
        <v>394</v>
      </c>
      <c r="CD224" s="292">
        <f>CJ219*CJ221+CK219*CK221</f>
        <v>603.86364548494987</v>
      </c>
      <c r="CE224"/>
      <c r="CF224"/>
      <c r="CG224"/>
      <c r="CH224"/>
      <c r="CI224"/>
      <c r="CJ224"/>
      <c r="CK224"/>
      <c r="CL224"/>
      <c r="CM224"/>
      <c r="CN224" s="309" t="s">
        <v>394</v>
      </c>
      <c r="CO224" s="292">
        <f>CU219*CU221+CV219*CV221</f>
        <v>-13432.403143812709</v>
      </c>
      <c r="CP224"/>
      <c r="CQ224"/>
      <c r="CR224"/>
      <c r="CS224"/>
      <c r="CT224"/>
      <c r="CU224"/>
      <c r="CV224"/>
    </row>
  </sheetData>
  <sheetProtection password="B310" sheet="1" objects="1" scenarios="1"/>
  <protectedRanges>
    <protectedRange sqref="P20:R21" name="Range9"/>
    <protectedRange sqref="D101:D102" name="Range7"/>
    <protectedRange sqref="D98:D99" name="Range6"/>
    <protectedRange sqref="I96:J96" name="Range5"/>
    <protectedRange sqref="F96:G96" name="Range4"/>
    <protectedRange sqref="D12:I44" name="Range3"/>
    <protectedRange sqref="F8:I9" name="Range2"/>
    <protectedRange sqref="F4" name="Range1"/>
    <protectedRange sqref="L4:L46" name="Range8"/>
  </protectedRanges>
  <conditionalFormatting sqref="P5">
    <cfRule type="cellIs" dxfId="29" priority="6" operator="lessThan">
      <formula>0</formula>
    </cfRule>
  </conditionalFormatting>
  <conditionalFormatting sqref="Q5">
    <cfRule type="cellIs" dxfId="28" priority="5" operator="lessThan">
      <formula>0</formula>
    </cfRule>
  </conditionalFormatting>
  <conditionalFormatting sqref="R5">
    <cfRule type="cellIs" dxfId="27" priority="4" operator="lessThan">
      <formula>0</formula>
    </cfRule>
  </conditionalFormatting>
  <conditionalFormatting sqref="P7">
    <cfRule type="cellIs" dxfId="26" priority="3" operator="lessThan">
      <formula>0</formula>
    </cfRule>
  </conditionalFormatting>
  <conditionalFormatting sqref="Q7">
    <cfRule type="cellIs" dxfId="25" priority="2" operator="lessThan">
      <formula>0</formula>
    </cfRule>
  </conditionalFormatting>
  <conditionalFormatting sqref="R7">
    <cfRule type="cellIs" dxfId="24" priority="1" operator="lessThan">
      <formula>0</formula>
    </cfRule>
  </conditionalFormatting>
  <dataValidations disablePrompts="1"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verticalDpi="0" r:id="rId1"/>
  <rowBreaks count="1" manualBreakCount="1">
    <brk id="48" max="9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B1:DC224"/>
  <sheetViews>
    <sheetView zoomScale="120" zoomScaleNormal="120" zoomScaleSheetLayoutView="100" workbookViewId="0">
      <selection activeCell="F15" sqref="F15"/>
    </sheetView>
  </sheetViews>
  <sheetFormatPr defaultRowHeight="14.25"/>
  <cols>
    <col min="1" max="1" width="2.7109375" style="3" customWidth="1"/>
    <col min="2" max="2" width="3.5703125" style="3" bestFit="1" customWidth="1"/>
    <col min="3" max="3" width="6.7109375" style="3" customWidth="1"/>
    <col min="4" max="4" width="21.28515625" style="3" customWidth="1"/>
    <col min="5" max="5" width="6.7109375" style="3" customWidth="1"/>
    <col min="6" max="6" width="12" style="3" customWidth="1"/>
    <col min="7" max="7" width="10" style="3" customWidth="1"/>
    <col min="8" max="8" width="10.7109375" style="3" customWidth="1"/>
    <col min="9" max="9" width="10.42578125" style="3" customWidth="1"/>
    <col min="10" max="10" width="14.7109375" style="3" customWidth="1"/>
    <col min="11" max="11" width="2.42578125" style="3" customWidth="1"/>
    <col min="12" max="12" width="10.5703125" style="2" customWidth="1"/>
    <col min="13" max="14" width="2.28515625" style="3" customWidth="1"/>
    <col min="15" max="15" width="20.7109375" style="3" customWidth="1"/>
    <col min="16" max="18" width="9.140625" style="3"/>
    <col min="19" max="19" width="19.7109375" style="3" customWidth="1"/>
    <col min="20" max="80" width="9.140625" style="3"/>
    <col min="81" max="81" width="19.42578125" style="3" customWidth="1"/>
    <col min="82" max="89" width="9.140625" style="3"/>
    <col min="90" max="91" width="2.7109375" style="3" customWidth="1"/>
    <col min="92" max="92" width="19.28515625" style="3" customWidth="1"/>
    <col min="93" max="100" width="9.140625" style="3"/>
    <col min="101" max="103" width="2.5703125" style="3" customWidth="1"/>
    <col min="104" max="104" width="12.5703125" style="3" bestFit="1" customWidth="1"/>
    <col min="105" max="16384" width="9.140625" style="3"/>
  </cols>
  <sheetData>
    <row r="1" spans="2:18" ht="23.25">
      <c r="C1" s="82" t="s">
        <v>432</v>
      </c>
      <c r="O1" s="331" t="s">
        <v>426</v>
      </c>
      <c r="P1" s="331"/>
      <c r="Q1" s="331"/>
      <c r="R1" s="331"/>
    </row>
    <row r="2" spans="2:18">
      <c r="O2" s="331" t="s">
        <v>428</v>
      </c>
      <c r="P2" s="331"/>
      <c r="Q2" s="331"/>
      <c r="R2" s="331"/>
    </row>
    <row r="3" spans="2:18" ht="15.75" thickBot="1">
      <c r="C3" s="89" t="s">
        <v>433</v>
      </c>
      <c r="D3" s="89"/>
      <c r="E3" s="89"/>
      <c r="F3" s="89"/>
      <c r="G3" s="89"/>
      <c r="H3" s="89"/>
      <c r="L3" s="81" t="s">
        <v>0</v>
      </c>
      <c r="O3" s="317"/>
      <c r="P3" s="316" t="s">
        <v>381</v>
      </c>
      <c r="Q3" s="316" t="s">
        <v>415</v>
      </c>
      <c r="R3" s="316" t="s">
        <v>416</v>
      </c>
    </row>
    <row r="4" spans="2:18" ht="15.75" thickBot="1">
      <c r="C4" s="90" t="s">
        <v>137</v>
      </c>
      <c r="D4" s="90"/>
      <c r="E4" s="90"/>
      <c r="F4" s="98">
        <v>2018</v>
      </c>
      <c r="L4" s="25"/>
      <c r="O4" s="318" t="s">
        <v>427</v>
      </c>
      <c r="P4" s="319">
        <f t="shared" ref="P4:R5" si="0">+CI218</f>
        <v>143.5</v>
      </c>
      <c r="Q4" s="319">
        <f t="shared" si="0"/>
        <v>73.5</v>
      </c>
      <c r="R4" s="319">
        <f t="shared" si="0"/>
        <v>35</v>
      </c>
    </row>
    <row r="5" spans="2:18" ht="15.75" thickBot="1">
      <c r="L5" s="26"/>
      <c r="O5" s="332" t="s">
        <v>429</v>
      </c>
      <c r="P5" s="333">
        <f t="shared" si="0"/>
        <v>-3</v>
      </c>
      <c r="Q5" s="333">
        <f t="shared" si="0"/>
        <v>16</v>
      </c>
      <c r="R5" s="333">
        <f t="shared" si="0"/>
        <v>2.5</v>
      </c>
    </row>
    <row r="6" spans="2:18" ht="38.25">
      <c r="E6" s="150" t="s">
        <v>150</v>
      </c>
      <c r="F6" s="123" t="s">
        <v>3</v>
      </c>
      <c r="G6" s="125" t="s">
        <v>4</v>
      </c>
      <c r="H6" s="123" t="s">
        <v>5</v>
      </c>
      <c r="I6" s="125" t="s">
        <v>4</v>
      </c>
      <c r="J6" s="123" t="s">
        <v>63</v>
      </c>
      <c r="L6" s="26"/>
      <c r="O6" s="324" t="s">
        <v>454</v>
      </c>
      <c r="P6" s="326" t="str">
        <f t="shared" ref="P6:R7" si="1">IF($J$9&gt;100,CT218,"0")</f>
        <v>0</v>
      </c>
      <c r="Q6" s="326" t="str">
        <f t="shared" si="1"/>
        <v>0</v>
      </c>
      <c r="R6" s="326" t="str">
        <f t="shared" si="1"/>
        <v>0</v>
      </c>
    </row>
    <row r="7" spans="2:18" ht="15.75" thickBot="1">
      <c r="B7" s="32" t="s">
        <v>6</v>
      </c>
      <c r="C7" s="33" t="s">
        <v>7</v>
      </c>
      <c r="D7" s="34"/>
      <c r="E7" s="35"/>
      <c r="F7" s="4"/>
      <c r="G7" s="4"/>
      <c r="H7" s="4"/>
      <c r="I7" s="4"/>
      <c r="J7" s="4"/>
      <c r="L7" s="27"/>
      <c r="O7" s="332" t="s">
        <v>429</v>
      </c>
      <c r="P7" s="336" t="str">
        <f t="shared" si="1"/>
        <v>0</v>
      </c>
      <c r="Q7" s="337" t="str">
        <f t="shared" si="1"/>
        <v>0</v>
      </c>
      <c r="R7" s="337" t="str">
        <f t="shared" si="1"/>
        <v>0</v>
      </c>
    </row>
    <row r="8" spans="2:18" ht="15">
      <c r="B8" s="5" t="s">
        <v>8</v>
      </c>
      <c r="C8" s="36" t="s">
        <v>395</v>
      </c>
      <c r="E8" s="37">
        <v>1</v>
      </c>
      <c r="F8" s="83">
        <v>3500</v>
      </c>
      <c r="G8" s="6" t="s">
        <v>20</v>
      </c>
      <c r="H8" s="156">
        <v>40</v>
      </c>
      <c r="I8" s="128" t="s">
        <v>21</v>
      </c>
      <c r="J8" s="38">
        <f>E8*F8*H8</f>
        <v>140000</v>
      </c>
      <c r="L8" s="26"/>
    </row>
    <row r="9" spans="2:18" ht="15.75" thickBot="1">
      <c r="B9" s="5" t="s">
        <v>11</v>
      </c>
      <c r="C9" s="29" t="s">
        <v>457</v>
      </c>
      <c r="E9" s="39">
        <v>1</v>
      </c>
      <c r="F9" s="99">
        <v>3</v>
      </c>
      <c r="G9" s="4" t="s">
        <v>2</v>
      </c>
      <c r="H9" s="99"/>
      <c r="I9" s="4" t="s">
        <v>10</v>
      </c>
      <c r="J9" s="40">
        <f>E9*F9*H9</f>
        <v>0</v>
      </c>
      <c r="L9" s="26" t="s">
        <v>417</v>
      </c>
    </row>
    <row r="10" spans="2:18" ht="15.75" thickBot="1">
      <c r="B10" s="41"/>
      <c r="C10" s="42" t="s">
        <v>46</v>
      </c>
      <c r="D10" s="43"/>
      <c r="E10" s="43"/>
      <c r="F10" s="44"/>
      <c r="G10" s="45"/>
      <c r="H10" s="44"/>
      <c r="I10" s="45"/>
      <c r="J10" s="46">
        <f>SUM(J8:J9)</f>
        <v>140000</v>
      </c>
      <c r="L10" s="26"/>
    </row>
    <row r="11" spans="2:18" ht="15">
      <c r="B11" s="47" t="s">
        <v>13</v>
      </c>
      <c r="C11" s="29" t="s">
        <v>14</v>
      </c>
      <c r="E11" s="48"/>
      <c r="F11" s="8"/>
      <c r="H11" s="8"/>
      <c r="J11" s="49"/>
      <c r="L11" s="26"/>
    </row>
    <row r="12" spans="2:18">
      <c r="B12" s="5" t="s">
        <v>8</v>
      </c>
      <c r="C12" s="4" t="s">
        <v>15</v>
      </c>
      <c r="E12" s="65">
        <v>1</v>
      </c>
      <c r="F12" s="50">
        <v>0.4</v>
      </c>
      <c r="G12" s="4" t="s">
        <v>16</v>
      </c>
      <c r="H12" s="51">
        <v>21000</v>
      </c>
      <c r="I12" s="4" t="s">
        <v>17</v>
      </c>
      <c r="J12" s="49">
        <f t="shared" ref="J12" si="2">E12*F12*H12</f>
        <v>8400</v>
      </c>
      <c r="L12" s="26"/>
    </row>
    <row r="13" spans="2:18">
      <c r="B13" s="10" t="s">
        <v>11</v>
      </c>
      <c r="C13" s="4" t="s">
        <v>106</v>
      </c>
      <c r="E13" s="65"/>
      <c r="F13" s="9"/>
      <c r="G13" s="4"/>
      <c r="H13" s="9"/>
      <c r="I13" s="4"/>
      <c r="J13" s="49"/>
      <c r="L13" s="26"/>
    </row>
    <row r="14" spans="2:18">
      <c r="C14" s="11"/>
      <c r="D14" s="52" t="s">
        <v>51</v>
      </c>
      <c r="E14" s="305">
        <v>5</v>
      </c>
      <c r="F14" s="51">
        <v>0</v>
      </c>
      <c r="G14" s="3" t="s">
        <v>96</v>
      </c>
      <c r="H14" s="66">
        <v>0</v>
      </c>
      <c r="I14" s="3" t="s">
        <v>21</v>
      </c>
      <c r="J14" s="49">
        <f>H14*F14*IF(E14=1,0.5, IF(E14=2,0.3,IF(E14=3,0.2,"0")))</f>
        <v>0</v>
      </c>
      <c r="L14" s="26" t="s">
        <v>420</v>
      </c>
    </row>
    <row r="15" spans="2:18">
      <c r="D15" s="52" t="s">
        <v>408</v>
      </c>
      <c r="E15" s="65">
        <v>1</v>
      </c>
      <c r="F15" s="51">
        <v>250</v>
      </c>
      <c r="G15" s="3" t="s">
        <v>96</v>
      </c>
      <c r="H15" s="66">
        <v>38</v>
      </c>
      <c r="I15" s="3" t="s">
        <v>21</v>
      </c>
      <c r="J15" s="49">
        <f t="shared" ref="J15:J44" si="3">E15*F15*H15</f>
        <v>9500</v>
      </c>
      <c r="L15" s="26"/>
    </row>
    <row r="16" spans="2:18">
      <c r="D16" s="52" t="s">
        <v>409</v>
      </c>
      <c r="E16" s="65">
        <v>1</v>
      </c>
      <c r="F16" s="51">
        <v>200</v>
      </c>
      <c r="G16" s="3" t="s">
        <v>96</v>
      </c>
      <c r="H16" s="66">
        <v>34</v>
      </c>
      <c r="I16" s="3" t="s">
        <v>21</v>
      </c>
      <c r="J16" s="49">
        <f t="shared" si="3"/>
        <v>6800</v>
      </c>
      <c r="L16" s="26"/>
    </row>
    <row r="17" spans="2:18">
      <c r="D17" s="52" t="s">
        <v>412</v>
      </c>
      <c r="E17" s="65">
        <v>1</v>
      </c>
      <c r="F17" s="51">
        <v>100</v>
      </c>
      <c r="G17" s="3" t="s">
        <v>96</v>
      </c>
      <c r="H17" s="66">
        <v>51.5</v>
      </c>
      <c r="I17" s="3" t="s">
        <v>21</v>
      </c>
      <c r="J17" s="49">
        <f t="shared" si="3"/>
        <v>5150</v>
      </c>
      <c r="L17" s="26"/>
    </row>
    <row r="18" spans="2:18">
      <c r="D18" s="52"/>
      <c r="E18" s="65">
        <v>1</v>
      </c>
      <c r="F18" s="51"/>
      <c r="G18" s="3" t="s">
        <v>96</v>
      </c>
      <c r="H18" s="66"/>
      <c r="I18" s="3" t="s">
        <v>21</v>
      </c>
      <c r="J18" s="49">
        <f t="shared" si="3"/>
        <v>0</v>
      </c>
      <c r="L18" s="26"/>
    </row>
    <row r="19" spans="2:18" ht="15">
      <c r="D19" s="52"/>
      <c r="E19" s="65">
        <v>1</v>
      </c>
      <c r="F19" s="51"/>
      <c r="G19" s="3" t="s">
        <v>96</v>
      </c>
      <c r="H19" s="66"/>
      <c r="I19" s="3" t="s">
        <v>21</v>
      </c>
      <c r="J19" s="49">
        <f t="shared" si="3"/>
        <v>0</v>
      </c>
      <c r="L19" s="26"/>
      <c r="P19" s="307" t="s">
        <v>381</v>
      </c>
      <c r="Q19" s="307" t="s">
        <v>415</v>
      </c>
      <c r="R19" s="307" t="s">
        <v>416</v>
      </c>
    </row>
    <row r="20" spans="2:18">
      <c r="D20" s="320" t="s">
        <v>448</v>
      </c>
      <c r="E20" s="65">
        <v>1</v>
      </c>
      <c r="F20" s="51"/>
      <c r="G20" s="3" t="s">
        <v>96</v>
      </c>
      <c r="H20" s="66"/>
      <c r="I20" s="3" t="s">
        <v>21</v>
      </c>
      <c r="J20" s="49">
        <f t="shared" si="3"/>
        <v>0</v>
      </c>
      <c r="L20" s="321" t="s">
        <v>430</v>
      </c>
      <c r="P20" s="308">
        <v>0.08</v>
      </c>
      <c r="Q20" s="308">
        <v>0.16</v>
      </c>
      <c r="R20" s="308">
        <v>0.24</v>
      </c>
    </row>
    <row r="21" spans="2:18">
      <c r="D21" s="320"/>
      <c r="E21" s="65">
        <v>1</v>
      </c>
      <c r="F21" s="51"/>
      <c r="G21" s="3" t="s">
        <v>96</v>
      </c>
      <c r="H21" s="66"/>
      <c r="I21" s="3" t="s">
        <v>21</v>
      </c>
      <c r="J21" s="49">
        <f t="shared" si="3"/>
        <v>0</v>
      </c>
      <c r="L21" s="321" t="s">
        <v>430</v>
      </c>
      <c r="P21" s="308">
        <v>0</v>
      </c>
      <c r="Q21" s="308">
        <v>0</v>
      </c>
      <c r="R21" s="308">
        <v>0</v>
      </c>
    </row>
    <row r="22" spans="2:18">
      <c r="B22" s="10" t="s">
        <v>22</v>
      </c>
      <c r="C22" s="17" t="s">
        <v>23</v>
      </c>
      <c r="E22" s="31"/>
      <c r="J22" s="49"/>
      <c r="L22" s="26"/>
    </row>
    <row r="23" spans="2:18">
      <c r="D23" s="52" t="s">
        <v>451</v>
      </c>
      <c r="E23" s="65">
        <v>1</v>
      </c>
      <c r="F23" s="66">
        <v>0.4</v>
      </c>
      <c r="G23" s="3" t="s">
        <v>93</v>
      </c>
      <c r="H23" s="99">
        <v>8600</v>
      </c>
      <c r="I23" s="3" t="s">
        <v>34</v>
      </c>
      <c r="J23" s="49">
        <f t="shared" si="3"/>
        <v>3440</v>
      </c>
      <c r="L23" s="26"/>
    </row>
    <row r="24" spans="2:18">
      <c r="D24" s="52" t="s">
        <v>452</v>
      </c>
      <c r="E24" s="65">
        <v>1</v>
      </c>
      <c r="F24" s="66">
        <v>0.3</v>
      </c>
      <c r="G24" s="3" t="s">
        <v>93</v>
      </c>
      <c r="H24" s="51">
        <v>6870</v>
      </c>
      <c r="I24" s="3" t="s">
        <v>34</v>
      </c>
      <c r="J24" s="49">
        <f t="shared" si="3"/>
        <v>2061</v>
      </c>
      <c r="L24" s="26"/>
    </row>
    <row r="25" spans="2:18">
      <c r="D25" s="52" t="s">
        <v>453</v>
      </c>
      <c r="E25" s="65">
        <v>1</v>
      </c>
      <c r="F25" s="66"/>
      <c r="H25" s="51"/>
      <c r="I25" s="3" t="s">
        <v>34</v>
      </c>
      <c r="J25" s="49">
        <f t="shared" si="3"/>
        <v>0</v>
      </c>
      <c r="L25" s="26"/>
    </row>
    <row r="26" spans="2:18">
      <c r="D26" s="52" t="s">
        <v>27</v>
      </c>
      <c r="E26" s="65">
        <v>1</v>
      </c>
      <c r="F26" s="66"/>
      <c r="H26" s="51"/>
      <c r="J26" s="49">
        <f t="shared" si="3"/>
        <v>0</v>
      </c>
      <c r="L26" s="26"/>
    </row>
    <row r="27" spans="2:18">
      <c r="D27" s="52" t="s">
        <v>28</v>
      </c>
      <c r="E27" s="65">
        <v>1</v>
      </c>
      <c r="F27" s="66"/>
      <c r="H27" s="51"/>
      <c r="J27" s="49">
        <f t="shared" si="3"/>
        <v>0</v>
      </c>
      <c r="L27" s="26"/>
    </row>
    <row r="28" spans="2:18">
      <c r="D28" s="52" t="s">
        <v>29</v>
      </c>
      <c r="E28" s="65">
        <v>1</v>
      </c>
      <c r="F28" s="66"/>
      <c r="H28" s="51"/>
      <c r="J28" s="49">
        <f t="shared" si="3"/>
        <v>0</v>
      </c>
      <c r="L28" s="26"/>
    </row>
    <row r="29" spans="2:18">
      <c r="B29" s="10" t="s">
        <v>30</v>
      </c>
      <c r="C29" s="3" t="s">
        <v>52</v>
      </c>
      <c r="E29" s="31"/>
      <c r="H29" s="8"/>
      <c r="J29" s="49"/>
      <c r="L29" s="26"/>
    </row>
    <row r="30" spans="2:18">
      <c r="C30" s="11" t="s">
        <v>56</v>
      </c>
      <c r="D30" s="17" t="s">
        <v>56</v>
      </c>
      <c r="E30" s="39">
        <v>1</v>
      </c>
      <c r="F30" s="66">
        <v>15</v>
      </c>
      <c r="G30" s="3" t="s">
        <v>93</v>
      </c>
      <c r="H30" s="51">
        <v>145</v>
      </c>
      <c r="I30" s="3" t="s">
        <v>34</v>
      </c>
      <c r="J30" s="49">
        <f t="shared" si="3"/>
        <v>2175</v>
      </c>
      <c r="L30" s="26" t="s">
        <v>104</v>
      </c>
    </row>
    <row r="31" spans="2:18">
      <c r="B31" s="10" t="s">
        <v>35</v>
      </c>
      <c r="C31" s="3" t="s">
        <v>54</v>
      </c>
      <c r="E31" s="39">
        <v>1</v>
      </c>
      <c r="F31" s="66">
        <v>60</v>
      </c>
      <c r="G31" s="3" t="s">
        <v>93</v>
      </c>
      <c r="H31" s="51">
        <f>Inputi!G11</f>
        <v>145</v>
      </c>
      <c r="I31" s="3" t="s">
        <v>34</v>
      </c>
      <c r="J31" s="49">
        <f t="shared" si="3"/>
        <v>8700</v>
      </c>
      <c r="L31" s="26"/>
    </row>
    <row r="32" spans="2:18">
      <c r="B32" s="10" t="s">
        <v>40</v>
      </c>
      <c r="C32" s="3" t="s">
        <v>55</v>
      </c>
      <c r="E32" s="39">
        <v>1</v>
      </c>
      <c r="F32" s="3">
        <v>1</v>
      </c>
      <c r="G32" s="3" t="s">
        <v>1</v>
      </c>
      <c r="H32" s="8">
        <f>Inputi!$F$43*F31</f>
        <v>3970.0000000000005</v>
      </c>
      <c r="I32" s="3" t="s">
        <v>37</v>
      </c>
      <c r="J32" s="49">
        <f t="shared" si="3"/>
        <v>3970.0000000000005</v>
      </c>
      <c r="L32" s="26"/>
    </row>
    <row r="33" spans="2:12">
      <c r="B33" s="10" t="s">
        <v>60</v>
      </c>
      <c r="C33" s="3" t="s">
        <v>58</v>
      </c>
      <c r="E33" s="31"/>
      <c r="H33" s="8"/>
      <c r="J33" s="49"/>
      <c r="L33" s="26"/>
    </row>
    <row r="34" spans="2:12">
      <c r="B34" s="10"/>
      <c r="C34" s="67"/>
      <c r="D34" s="68" t="s">
        <v>59</v>
      </c>
      <c r="E34" s="65">
        <v>1</v>
      </c>
      <c r="F34" s="66"/>
      <c r="G34" s="3" t="s">
        <v>1</v>
      </c>
      <c r="H34" s="51"/>
      <c r="I34" s="3" t="s">
        <v>37</v>
      </c>
      <c r="J34" s="49">
        <f t="shared" si="3"/>
        <v>0</v>
      </c>
      <c r="L34" s="26"/>
    </row>
    <row r="35" spans="2:12">
      <c r="B35" s="10"/>
      <c r="C35" s="67"/>
      <c r="D35" s="68" t="s">
        <v>65</v>
      </c>
      <c r="E35" s="65">
        <v>1</v>
      </c>
      <c r="F35" s="66"/>
      <c r="G35" s="3" t="s">
        <v>1</v>
      </c>
      <c r="H35" s="51"/>
      <c r="I35" s="3" t="s">
        <v>37</v>
      </c>
      <c r="J35" s="49">
        <f t="shared" si="3"/>
        <v>0</v>
      </c>
      <c r="L35" s="26"/>
    </row>
    <row r="36" spans="2:12">
      <c r="B36" s="10"/>
      <c r="C36" s="67"/>
      <c r="D36" s="68" t="s">
        <v>38</v>
      </c>
      <c r="E36" s="65">
        <v>1</v>
      </c>
      <c r="F36" s="66">
        <v>1</v>
      </c>
      <c r="G36" s="3" t="s">
        <v>1</v>
      </c>
      <c r="H36" s="51">
        <v>2500</v>
      </c>
      <c r="I36" s="3" t="s">
        <v>37</v>
      </c>
      <c r="J36" s="49">
        <f t="shared" si="3"/>
        <v>2500</v>
      </c>
      <c r="L36" s="26"/>
    </row>
    <row r="37" spans="2:12">
      <c r="B37" s="10"/>
      <c r="C37" s="67"/>
      <c r="D37" s="68" t="s">
        <v>118</v>
      </c>
      <c r="E37" s="65">
        <v>1</v>
      </c>
      <c r="F37" s="66">
        <v>1</v>
      </c>
      <c r="G37" s="3" t="s">
        <v>1</v>
      </c>
      <c r="H37" s="51">
        <v>11000</v>
      </c>
      <c r="I37" s="3" t="s">
        <v>37</v>
      </c>
      <c r="J37" s="49">
        <f t="shared" si="3"/>
        <v>11000</v>
      </c>
      <c r="L37" s="26"/>
    </row>
    <row r="38" spans="2:12">
      <c r="C38" s="67"/>
      <c r="D38" s="68"/>
      <c r="E38" s="65">
        <v>1</v>
      </c>
      <c r="F38" s="66"/>
      <c r="G38" s="3" t="s">
        <v>1</v>
      </c>
      <c r="H38" s="51"/>
      <c r="I38" s="3" t="s">
        <v>37</v>
      </c>
      <c r="J38" s="49">
        <f t="shared" si="3"/>
        <v>0</v>
      </c>
      <c r="L38" s="26"/>
    </row>
    <row r="39" spans="2:12">
      <c r="C39" s="69"/>
      <c r="D39" s="66"/>
      <c r="E39" s="65">
        <v>1</v>
      </c>
      <c r="F39" s="66"/>
      <c r="G39" s="3" t="s">
        <v>1</v>
      </c>
      <c r="H39" s="51"/>
      <c r="I39" s="3" t="s">
        <v>37</v>
      </c>
      <c r="J39" s="49">
        <f t="shared" si="3"/>
        <v>0</v>
      </c>
      <c r="L39" s="26"/>
    </row>
    <row r="40" spans="2:12">
      <c r="B40" s="10" t="s">
        <v>62</v>
      </c>
      <c r="C40" s="3" t="s">
        <v>57</v>
      </c>
      <c r="E40" s="65">
        <v>1</v>
      </c>
      <c r="F40" s="66">
        <v>0</v>
      </c>
      <c r="G40" s="3" t="s">
        <v>100</v>
      </c>
      <c r="H40" s="51">
        <v>0</v>
      </c>
      <c r="I40" s="3" t="s">
        <v>105</v>
      </c>
      <c r="J40" s="49">
        <f t="shared" si="3"/>
        <v>0</v>
      </c>
      <c r="L40" s="26" t="s">
        <v>119</v>
      </c>
    </row>
    <row r="41" spans="2:12">
      <c r="B41" s="10" t="s">
        <v>67</v>
      </c>
      <c r="C41" s="3" t="s">
        <v>271</v>
      </c>
      <c r="E41" s="31"/>
      <c r="H41" s="8"/>
      <c r="J41" s="49"/>
      <c r="L41" s="26"/>
    </row>
    <row r="42" spans="2:12">
      <c r="D42" s="66" t="s">
        <v>95</v>
      </c>
      <c r="E42" s="39">
        <v>1</v>
      </c>
      <c r="F42" s="51">
        <v>3100</v>
      </c>
      <c r="G42" s="3" t="s">
        <v>96</v>
      </c>
      <c r="H42" s="99">
        <v>1</v>
      </c>
      <c r="I42" s="3" t="s">
        <v>21</v>
      </c>
      <c r="J42" s="49">
        <f t="shared" si="3"/>
        <v>3100</v>
      </c>
      <c r="L42" s="26"/>
    </row>
    <row r="43" spans="2:12">
      <c r="D43" s="66"/>
      <c r="E43" s="39">
        <v>1</v>
      </c>
      <c r="F43" s="51"/>
      <c r="G43" s="3" t="s">
        <v>96</v>
      </c>
      <c r="H43" s="99"/>
      <c r="I43" s="3" t="s">
        <v>21</v>
      </c>
      <c r="J43" s="49">
        <f t="shared" si="3"/>
        <v>0</v>
      </c>
      <c r="L43" s="26"/>
    </row>
    <row r="44" spans="2:12" ht="15" thickBot="1">
      <c r="B44" s="3" t="s">
        <v>68</v>
      </c>
      <c r="C44" s="67" t="s">
        <v>374</v>
      </c>
      <c r="D44" s="4"/>
      <c r="E44" s="65">
        <v>1</v>
      </c>
      <c r="F44" s="209">
        <v>1</v>
      </c>
      <c r="G44" s="4" t="s">
        <v>1</v>
      </c>
      <c r="H44" s="51">
        <v>2100</v>
      </c>
      <c r="I44" s="3" t="s">
        <v>37</v>
      </c>
      <c r="J44" s="49">
        <f t="shared" si="3"/>
        <v>2100</v>
      </c>
      <c r="L44" s="26"/>
    </row>
    <row r="45" spans="2:12" ht="15.75" thickBot="1">
      <c r="B45" s="41"/>
      <c r="C45" s="42" t="s">
        <v>101</v>
      </c>
      <c r="D45" s="43"/>
      <c r="E45" s="43"/>
      <c r="F45" s="44"/>
      <c r="G45" s="45"/>
      <c r="H45" s="44"/>
      <c r="I45" s="45"/>
      <c r="J45" s="46">
        <f>SUM(J12:J44)</f>
        <v>68896</v>
      </c>
      <c r="L45" s="26"/>
    </row>
    <row r="46" spans="2:12" ht="15.75" thickBot="1">
      <c r="B46" s="70" t="s">
        <v>103</v>
      </c>
      <c r="C46" s="71" t="s">
        <v>102</v>
      </c>
      <c r="D46" s="71"/>
      <c r="E46" s="72"/>
      <c r="F46" s="72"/>
      <c r="G46" s="72"/>
      <c r="H46" s="73"/>
      <c r="I46" s="72"/>
      <c r="J46" s="28">
        <f>J10-J45</f>
        <v>71104</v>
      </c>
      <c r="L46" s="26"/>
    </row>
    <row r="47" spans="2:12" ht="16.5" thickTop="1" thickBot="1">
      <c r="B47" s="70" t="s">
        <v>403</v>
      </c>
      <c r="C47" s="71" t="s">
        <v>418</v>
      </c>
      <c r="D47" s="71"/>
      <c r="E47" s="72"/>
      <c r="F47" s="72"/>
      <c r="G47" s="72"/>
      <c r="H47" s="73"/>
      <c r="I47" s="72"/>
      <c r="J47" s="28">
        <f>J10-J45+IF(J9&gt;100,CO224,IF(J9&lt;100,CD224,"0"))</f>
        <v>72653.204682274241</v>
      </c>
      <c r="L47" s="64"/>
    </row>
    <row r="48" spans="2:12" ht="15" thickTop="1"/>
    <row r="49" spans="2:8" ht="15.75" thickBot="1">
      <c r="C49" s="89" t="s">
        <v>434</v>
      </c>
      <c r="D49" s="90"/>
      <c r="E49" s="90"/>
      <c r="F49" s="90"/>
      <c r="G49" s="90"/>
      <c r="H49" s="90"/>
    </row>
    <row r="50" spans="2:8" ht="15" thickBot="1"/>
    <row r="51" spans="2:8" ht="15.75" thickTop="1">
      <c r="C51" s="74" t="s">
        <v>7</v>
      </c>
      <c r="D51" s="75"/>
      <c r="E51" s="75"/>
      <c r="F51" s="76" t="s">
        <v>107</v>
      </c>
    </row>
    <row r="52" spans="2:8">
      <c r="C52" s="53" t="s">
        <v>180</v>
      </c>
      <c r="F52" s="8">
        <f>J8</f>
        <v>140000</v>
      </c>
    </row>
    <row r="53" spans="2:8" ht="15" thickBot="1">
      <c r="C53" s="54" t="s">
        <v>363</v>
      </c>
      <c r="F53" s="8">
        <f>J9</f>
        <v>0</v>
      </c>
    </row>
    <row r="54" spans="2:8" ht="15.75" thickBot="1">
      <c r="B54" s="55"/>
      <c r="C54" s="42" t="s">
        <v>46</v>
      </c>
      <c r="D54" s="43"/>
      <c r="E54" s="43"/>
      <c r="F54" s="56">
        <f>J10</f>
        <v>140000</v>
      </c>
    </row>
    <row r="55" spans="2:8" ht="15">
      <c r="B55" s="55"/>
      <c r="C55" s="29" t="s">
        <v>14</v>
      </c>
      <c r="F55" s="8"/>
    </row>
    <row r="56" spans="2:8">
      <c r="C56" s="54" t="s">
        <v>15</v>
      </c>
      <c r="F56" s="8">
        <f>J12</f>
        <v>8400</v>
      </c>
    </row>
    <row r="57" spans="2:8">
      <c r="C57" s="54" t="s">
        <v>106</v>
      </c>
      <c r="F57" s="8">
        <f>SUM(J14:J21)</f>
        <v>21450</v>
      </c>
    </row>
    <row r="58" spans="2:8">
      <c r="C58" s="54" t="s">
        <v>23</v>
      </c>
      <c r="F58" s="8">
        <f>SUM(J23:J28)</f>
        <v>5501</v>
      </c>
    </row>
    <row r="59" spans="2:8">
      <c r="C59" s="54" t="s">
        <v>52</v>
      </c>
      <c r="F59" s="8">
        <f>J30</f>
        <v>2175</v>
      </c>
    </row>
    <row r="60" spans="2:8">
      <c r="C60" s="54" t="s">
        <v>54</v>
      </c>
      <c r="F60" s="8">
        <f>J31</f>
        <v>8700</v>
      </c>
    </row>
    <row r="61" spans="2:8">
      <c r="C61" s="54" t="s">
        <v>55</v>
      </c>
      <c r="F61" s="8">
        <f>J32</f>
        <v>3970.0000000000005</v>
      </c>
    </row>
    <row r="62" spans="2:8">
      <c r="C62" s="54" t="s">
        <v>58</v>
      </c>
      <c r="F62" s="8">
        <f>SUM(J34:J39)</f>
        <v>13500</v>
      </c>
    </row>
    <row r="63" spans="2:8">
      <c r="C63" s="54" t="s">
        <v>53</v>
      </c>
      <c r="F63" s="8">
        <f>J40</f>
        <v>0</v>
      </c>
    </row>
    <row r="64" spans="2:8">
      <c r="C64" s="54" t="s">
        <v>271</v>
      </c>
      <c r="F64" s="8">
        <f>SUM(J42:J43)</f>
        <v>3100</v>
      </c>
    </row>
    <row r="65" spans="3:6" ht="15" thickBot="1">
      <c r="C65" s="199" t="s">
        <v>374</v>
      </c>
      <c r="F65" s="8">
        <f>J44</f>
        <v>2100</v>
      </c>
    </row>
    <row r="66" spans="3:6" ht="15.75" thickBot="1">
      <c r="C66" s="42" t="s">
        <v>101</v>
      </c>
      <c r="D66" s="43"/>
      <c r="E66" s="43"/>
      <c r="F66" s="56">
        <f>SUM(F56:F65)</f>
        <v>68896</v>
      </c>
    </row>
    <row r="67" spans="3:6" ht="15.75" thickBot="1">
      <c r="C67" s="71" t="s">
        <v>42</v>
      </c>
      <c r="D67" s="72"/>
      <c r="E67" s="72"/>
      <c r="F67" s="77">
        <f>F54-F66</f>
        <v>71104</v>
      </c>
    </row>
    <row r="68" spans="3:6" ht="15.75" thickTop="1">
      <c r="C68" s="96"/>
      <c r="D68" s="97"/>
      <c r="E68" s="97"/>
      <c r="F68" s="63"/>
    </row>
    <row r="93" spans="4:10" ht="15.75" thickBot="1">
      <c r="D93" s="89" t="s">
        <v>435</v>
      </c>
      <c r="E93" s="90"/>
      <c r="F93" s="90"/>
      <c r="G93" s="90"/>
      <c r="H93" s="90"/>
      <c r="I93" s="90"/>
      <c r="J93" s="90"/>
    </row>
    <row r="95" spans="4:10" ht="15.75" thickBot="1">
      <c r="D95" s="12"/>
      <c r="E95" s="13"/>
      <c r="F95" s="14"/>
      <c r="G95" s="57"/>
      <c r="H95" s="57" t="s">
        <v>160</v>
      </c>
      <c r="I95" s="57"/>
      <c r="J95" s="79"/>
    </row>
    <row r="96" spans="4:10">
      <c r="D96" s="15"/>
      <c r="E96" s="16"/>
      <c r="F96" s="154">
        <v>-0.2</v>
      </c>
      <c r="G96" s="154">
        <v>-0.1</v>
      </c>
      <c r="H96" s="59" t="s">
        <v>110</v>
      </c>
      <c r="I96" s="154">
        <v>0.1</v>
      </c>
      <c r="J96" s="155">
        <v>0.2</v>
      </c>
    </row>
    <row r="97" spans="4:10" ht="15.75" thickBot="1">
      <c r="D97" s="60" t="s">
        <v>109</v>
      </c>
      <c r="E97" s="61"/>
      <c r="F97" s="92">
        <f>H97*(1+F96)</f>
        <v>32</v>
      </c>
      <c r="G97" s="92">
        <f>H97*(1+G96)</f>
        <v>36</v>
      </c>
      <c r="H97" s="92">
        <f>H8</f>
        <v>40</v>
      </c>
      <c r="I97" s="93">
        <f>$H$97*(1+I96)</f>
        <v>44</v>
      </c>
      <c r="J97" s="94">
        <f>$H$97*(1+J96)</f>
        <v>48</v>
      </c>
    </row>
    <row r="98" spans="4:10" ht="15">
      <c r="D98" s="152">
        <v>-0.2</v>
      </c>
      <c r="E98" s="62">
        <f>$E$100*(1+D98)</f>
        <v>2800</v>
      </c>
      <c r="F98" s="88">
        <f>$H$98-$E$98*($H$97-F97)</f>
        <v>22253.204682274241</v>
      </c>
      <c r="G98" s="88">
        <f>$H$98-$E$98*($H$97-G97)</f>
        <v>33453.204682274241</v>
      </c>
      <c r="H98" s="88">
        <f>$H$100-($E$100-E98)*$H$97</f>
        <v>44653.204682274241</v>
      </c>
      <c r="I98" s="84">
        <f>$H$98+$E$98*(I97-$H$97)</f>
        <v>55853.204682274241</v>
      </c>
      <c r="J98" s="85">
        <f>$H$98+$E$98*(J97-$H$97)</f>
        <v>67053.204682274241</v>
      </c>
    </row>
    <row r="99" spans="4:10" ht="15">
      <c r="D99" s="152">
        <v>-0.1</v>
      </c>
      <c r="E99" s="62">
        <f>$E$100*(1+D99)</f>
        <v>3150</v>
      </c>
      <c r="F99" s="88">
        <f>$H$99-$E$99*($H$97-F97)</f>
        <v>33453.204682274241</v>
      </c>
      <c r="G99" s="88">
        <f>$H$99-$E$99*($H$97-G97)</f>
        <v>46053.204682274241</v>
      </c>
      <c r="H99" s="88">
        <f>$H$100-($E$100-E99)*$H$97</f>
        <v>58653.204682274241</v>
      </c>
      <c r="I99" s="88">
        <f>$H$99+$E$99*(I97-$H$97)</f>
        <v>71253.204682274241</v>
      </c>
      <c r="J99" s="91">
        <f>$H$99+$E$99*(J97-$H$97)</f>
        <v>83853.204682274241</v>
      </c>
    </row>
    <row r="100" spans="4:10" ht="15">
      <c r="D100" s="18" t="s">
        <v>43</v>
      </c>
      <c r="E100" s="62">
        <f>F8</f>
        <v>3500</v>
      </c>
      <c r="F100" s="88">
        <f>$H$100-$E$100*($H$97-F97)</f>
        <v>44653.204682274241</v>
      </c>
      <c r="G100" s="88">
        <f>$H$100-$E$100*($H$97-G97)</f>
        <v>58653.204682274241</v>
      </c>
      <c r="H100" s="63">
        <f>J47</f>
        <v>72653.204682274241</v>
      </c>
      <c r="I100" s="84">
        <f>$H$100+$E$100*(I97-$H$97)</f>
        <v>86653.204682274241</v>
      </c>
      <c r="J100" s="85">
        <f>$H$100+$E$100*(J97-$H$97)</f>
        <v>100653.20468227424</v>
      </c>
    </row>
    <row r="101" spans="4:10" ht="15">
      <c r="D101" s="152">
        <v>0.1</v>
      </c>
      <c r="E101" s="78">
        <f>$E$100*(1+D101)</f>
        <v>3850.0000000000005</v>
      </c>
      <c r="F101" s="84">
        <f>$H$101-$E$101*($H$97-F97)</f>
        <v>55853.204682274256</v>
      </c>
      <c r="G101" s="84">
        <f>$H$101-$E$101*($H$97-G97)</f>
        <v>71253.204682274256</v>
      </c>
      <c r="H101" s="88">
        <f>$H$100-($E$100-E101)*$H$97</f>
        <v>86653.204682274256</v>
      </c>
      <c r="I101" s="84">
        <f>$H$101+$E$101*(I97-$H$97)</f>
        <v>102053.20468227426</v>
      </c>
      <c r="J101" s="85">
        <f>$H$101+$E$101*(J97-$H$97)</f>
        <v>117453.20468227426</v>
      </c>
    </row>
    <row r="102" spans="4:10" ht="15">
      <c r="D102" s="153">
        <v>0.2</v>
      </c>
      <c r="E102" s="80">
        <f>$E$100*(1+D102)</f>
        <v>4200</v>
      </c>
      <c r="F102" s="86">
        <f>$H$102-$E$102*($H$97-F97)</f>
        <v>67053.204682274241</v>
      </c>
      <c r="G102" s="86">
        <f>$H$102-$E$102*($H$97-G97)</f>
        <v>83853.204682274241</v>
      </c>
      <c r="H102" s="95">
        <f>$H$100-($E$100-E102)*$H$97</f>
        <v>100653.20468227424</v>
      </c>
      <c r="I102" s="86">
        <f>$H$102+$E$102*(I97-$H$97)</f>
        <v>117453.20468227424</v>
      </c>
      <c r="J102" s="87">
        <f>$H$102+$E$102*(J97-$H$97)</f>
        <v>134253.20468227426</v>
      </c>
    </row>
    <row r="203" spans="81:107" ht="15.75">
      <c r="CC203" s="269" t="s">
        <v>375</v>
      </c>
      <c r="CD203" s="270"/>
      <c r="CE203" s="270"/>
      <c r="CF203" s="270"/>
      <c r="CG203" s="270"/>
      <c r="CH203" s="270"/>
      <c r="CI203" s="270"/>
      <c r="CJ203" s="270"/>
      <c r="CK203" s="270"/>
      <c r="CL203"/>
      <c r="CM203"/>
      <c r="CN203" s="271" t="s">
        <v>414</v>
      </c>
      <c r="CO203" s="272"/>
      <c r="CP203" s="272"/>
      <c r="CQ203" s="272"/>
      <c r="CR203" s="272"/>
      <c r="CS203" s="272"/>
      <c r="CT203" s="272"/>
      <c r="CU203" s="272"/>
      <c r="CV203" s="272"/>
      <c r="CZ203" s="298" t="s">
        <v>408</v>
      </c>
      <c r="DA203" s="300">
        <v>0.15</v>
      </c>
      <c r="DB203" s="300">
        <v>0.15</v>
      </c>
      <c r="DC203" s="300">
        <v>0.15</v>
      </c>
    </row>
    <row r="204" spans="81:107" ht="15.75">
      <c r="CC204" s="273" t="s">
        <v>376</v>
      </c>
      <c r="CD204" s="273" t="s">
        <v>377</v>
      </c>
      <c r="CE204" s="273" t="s">
        <v>378</v>
      </c>
      <c r="CF204" s="274" t="s">
        <v>379</v>
      </c>
      <c r="CG204" s="274"/>
      <c r="CH204" s="274"/>
      <c r="CI204" s="274" t="s">
        <v>380</v>
      </c>
      <c r="CJ204" s="274"/>
      <c r="CK204" s="275"/>
      <c r="CL204"/>
      <c r="CM204"/>
      <c r="CN204" s="273" t="s">
        <v>376</v>
      </c>
      <c r="CO204" s="273" t="s">
        <v>377</v>
      </c>
      <c r="CP204" s="273" t="s">
        <v>378</v>
      </c>
      <c r="CQ204" s="274" t="s">
        <v>379</v>
      </c>
      <c r="CR204" s="274"/>
      <c r="CS204" s="274"/>
      <c r="CT204" s="274" t="s">
        <v>380</v>
      </c>
      <c r="CU204" s="274"/>
      <c r="CV204" s="275"/>
      <c r="CZ204" s="298" t="s">
        <v>399</v>
      </c>
      <c r="DA204" s="300">
        <v>0.16</v>
      </c>
      <c r="DB204" s="300">
        <v>0.16</v>
      </c>
      <c r="DC204" s="300">
        <v>0.16</v>
      </c>
    </row>
    <row r="205" spans="81:107" ht="18">
      <c r="CC205"/>
      <c r="CD205"/>
      <c r="CE205"/>
      <c r="CF205" s="276" t="s">
        <v>381</v>
      </c>
      <c r="CG205" s="276" t="s">
        <v>382</v>
      </c>
      <c r="CH205" s="276" t="s">
        <v>383</v>
      </c>
      <c r="CI205" s="276" t="s">
        <v>381</v>
      </c>
      <c r="CJ205" s="276" t="s">
        <v>382</v>
      </c>
      <c r="CK205" s="276" t="s">
        <v>383</v>
      </c>
      <c r="CL205"/>
      <c r="CM205"/>
      <c r="CN205"/>
      <c r="CO205"/>
      <c r="CP205"/>
      <c r="CQ205" s="276" t="s">
        <v>381</v>
      </c>
      <c r="CR205" s="276" t="s">
        <v>382</v>
      </c>
      <c r="CS205" s="276" t="s">
        <v>383</v>
      </c>
      <c r="CT205" s="276" t="s">
        <v>381</v>
      </c>
      <c r="CU205" s="276" t="s">
        <v>382</v>
      </c>
      <c r="CV205" s="276" t="s">
        <v>383</v>
      </c>
      <c r="CZ205" s="298" t="s">
        <v>407</v>
      </c>
      <c r="DA205" s="300">
        <v>0.06</v>
      </c>
      <c r="DB205" s="300">
        <v>0.12</v>
      </c>
      <c r="DC205" s="300">
        <v>0.24</v>
      </c>
    </row>
    <row r="206" spans="81:107">
      <c r="CC206" t="str">
        <f>+D15</f>
        <v>NPK 15:15:15</v>
      </c>
      <c r="CD206" s="21">
        <f>+F15</f>
        <v>250</v>
      </c>
      <c r="CE206" t="s">
        <v>20</v>
      </c>
      <c r="CF206" s="304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G206" s="304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H206" s="304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I206">
        <f>$CD206*CF206</f>
        <v>37.5</v>
      </c>
      <c r="CJ206">
        <f t="shared" ref="CJ206:CK212" si="4">$CD206*CG206</f>
        <v>37.5</v>
      </c>
      <c r="CK206">
        <f t="shared" si="4"/>
        <v>37.5</v>
      </c>
      <c r="CL206"/>
      <c r="CM206"/>
      <c r="CN206" s="1" t="str">
        <f>D15</f>
        <v>NPK 15:15:15</v>
      </c>
      <c r="CO206" s="21">
        <f>+F15</f>
        <v>250</v>
      </c>
      <c r="CP206" t="s">
        <v>20</v>
      </c>
      <c r="CQ206" s="304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R206" s="304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S206" s="304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T206">
        <f>CO206*CQ206</f>
        <v>37.5</v>
      </c>
      <c r="CU206">
        <f>CO206*CR206</f>
        <v>37.5</v>
      </c>
      <c r="CV206">
        <f>CO206*CS206</f>
        <v>37.5</v>
      </c>
      <c r="CZ206" s="299" t="s">
        <v>412</v>
      </c>
      <c r="DA206" s="301">
        <v>0.11</v>
      </c>
      <c r="DB206" s="301">
        <v>0.52</v>
      </c>
      <c r="DC206" s="301">
        <v>0</v>
      </c>
    </row>
    <row r="207" spans="81:107">
      <c r="CC207" t="str">
        <f t="shared" ref="CC207:CC212" si="5">+D16</f>
        <v>UREA 46:0:0</v>
      </c>
      <c r="CD207" s="21">
        <f t="shared" ref="CD207:CD212" si="6">+F16</f>
        <v>200</v>
      </c>
      <c r="CE207" t="s">
        <v>20</v>
      </c>
      <c r="CF207" s="304">
        <f t="shared" ref="CF207:CF210" si="7">IF($CC207=$CZ$203,$DA$203,IF($CC207=$CZ$204,$DA$204,IF($CC207=$CZ$205,$DA$205,IF($CC207=CZ$206,$DA$206, IF($CC207=CZ$207,$DA$207,IF($CC207=$CZ$208,$DA$208,IF($CC207=$CZ$209,$DA$209,IF($CC207=$CZ$210,$DA$210,"0%"))))))))</f>
        <v>0.46</v>
      </c>
      <c r="CG207" s="304">
        <f t="shared" ref="CG207:CG210" si="8">IF($CC207=$CZ$203,$DB$203,IF($CC207=$CZ$204,$DB$204,IF($CC207=$CZ$205,$DB$205,IF($CC207=$CZ$206,$DB$206, IF($CC207=$CZ$207,$DB$207,IF($CC207=$CZ$208,$DB$208,IF($CC207=$CZ$209,$DB$209,IF($CC207=$CZ$210,$DB$210,"0%"))))))))</f>
        <v>0</v>
      </c>
      <c r="CH207" s="304">
        <f t="shared" ref="CH207:CH210" si="9">IF($CC207=$CZ$203,$DC$203,IF($CC207=$CZ$204,$DC$204,IF($CC207=$CZ$205,$DC$205,IF($CC207=$CZ$206,$DC$206, IF($CC207=$CZ$207,$DC$207,IF($CC207=$CZ$208,$DC$208,IF($CC207=$CZ$209,$DC$209,IF($CC207=$CZ$210,$DC$210,"0%"))))))))</f>
        <v>0</v>
      </c>
      <c r="CI207">
        <f>$CD207*CF207</f>
        <v>92</v>
      </c>
      <c r="CJ207">
        <f t="shared" si="4"/>
        <v>0</v>
      </c>
      <c r="CK207">
        <f t="shared" si="4"/>
        <v>0</v>
      </c>
      <c r="CL207"/>
      <c r="CM207"/>
      <c r="CN207" s="1" t="str">
        <f t="shared" ref="CN207:CN212" si="10">D16</f>
        <v>UREA 46:0:0</v>
      </c>
      <c r="CO207" s="21">
        <f t="shared" ref="CO207:CO212" si="11">+F16</f>
        <v>200</v>
      </c>
      <c r="CP207" t="s">
        <v>20</v>
      </c>
      <c r="CQ207" s="304">
        <f t="shared" ref="CQ207:CQ210" si="12">IF($CC207=$CZ$203,$DA$203,IF($CC207=$CZ$204,$DA$204,IF($CC207=$CZ$205,$DA$205,IF($CC207=$CZ$206,$DA$206, IF($CC207=$CZ$207,$DA$207,IF($CC207=$CZ$208,$DA$208,IF($CC207=$CZ$209,$DA$209,IF($CC207=$CZ$210,$DA$210,"0%"))))))))</f>
        <v>0.46</v>
      </c>
      <c r="CR207" s="304">
        <f t="shared" ref="CR207:CR210" si="13">IF($CC207=$CZ$203,$DB$203,IF($CC207=$CZ$204,$DB$204,IF($CC207=$CZ$205,$DB$205,IF($CC207=$CZ$206,$DB$206, IF($CC207=$CZ$207,$DB$207,IF($CC207=$CZ$208,$DB$208,IF($CC207=$CZ$209,$DB$209,IF($CC207=$CZ$210,$DB$210,"0%"))))))))</f>
        <v>0</v>
      </c>
      <c r="CS207" s="304">
        <f t="shared" ref="CS207:CS210" si="14">IF($CC207=$CZ$203,$DC$203,IF($CC207=$CZ$204,$DC$204,IF($CC207=$CZ$205,$DC$205,IF($CC207=$CZ$206,$DC$206, IF($CC207=$CZ$207,$DC$207,IF($CC207=$CZ$208,$DC$208,IF($CC207=$CZ$209,$DC$209,IF($CC207=$CZ$210,$DC$210,"0%"))))))))</f>
        <v>0</v>
      </c>
      <c r="CT207">
        <f t="shared" ref="CT207:CT212" si="15">CO207*CQ207</f>
        <v>92</v>
      </c>
      <c r="CU207">
        <f t="shared" ref="CU207:CU212" si="16">CO207*CR207</f>
        <v>0</v>
      </c>
      <c r="CV207">
        <f t="shared" ref="CV207:CV212" si="17">CO207*CS207</f>
        <v>0</v>
      </c>
      <c r="CZ207" s="299" t="s">
        <v>413</v>
      </c>
      <c r="DA207" s="301">
        <v>0.12</v>
      </c>
      <c r="DB207" s="301">
        <v>0.52</v>
      </c>
      <c r="DC207" s="301">
        <v>0</v>
      </c>
    </row>
    <row r="208" spans="81:107">
      <c r="CC208" t="str">
        <f t="shared" si="5"/>
        <v>MAP 11:52:0</v>
      </c>
      <c r="CD208" s="21">
        <f t="shared" si="6"/>
        <v>100</v>
      </c>
      <c r="CE208" t="s">
        <v>20</v>
      </c>
      <c r="CF208" s="304">
        <f t="shared" si="7"/>
        <v>0.11</v>
      </c>
      <c r="CG208" s="304">
        <f t="shared" si="8"/>
        <v>0.52</v>
      </c>
      <c r="CH208" s="304">
        <f t="shared" si="9"/>
        <v>0</v>
      </c>
      <c r="CI208">
        <f t="shared" ref="CI208:CI212" si="18">$CD208*CF208</f>
        <v>11</v>
      </c>
      <c r="CJ208">
        <f t="shared" si="4"/>
        <v>52</v>
      </c>
      <c r="CK208">
        <f t="shared" si="4"/>
        <v>0</v>
      </c>
      <c r="CL208"/>
      <c r="CM208"/>
      <c r="CN208" s="1" t="str">
        <f t="shared" si="10"/>
        <v>MAP 11:52:0</v>
      </c>
      <c r="CO208" s="21">
        <f t="shared" si="11"/>
        <v>100</v>
      </c>
      <c r="CP208" t="s">
        <v>20</v>
      </c>
      <c r="CQ208" s="304">
        <f t="shared" si="12"/>
        <v>0.11</v>
      </c>
      <c r="CR208" s="304">
        <f t="shared" si="13"/>
        <v>0.52</v>
      </c>
      <c r="CS208" s="304">
        <f t="shared" si="14"/>
        <v>0</v>
      </c>
      <c r="CT208">
        <f t="shared" si="15"/>
        <v>11</v>
      </c>
      <c r="CU208">
        <f t="shared" si="16"/>
        <v>52</v>
      </c>
      <c r="CV208">
        <f t="shared" si="17"/>
        <v>0</v>
      </c>
      <c r="CZ208" s="298" t="s">
        <v>409</v>
      </c>
      <c r="DA208" s="301">
        <v>0.46</v>
      </c>
      <c r="DB208" s="301">
        <v>0</v>
      </c>
      <c r="DC208" s="301">
        <v>0</v>
      </c>
    </row>
    <row r="209" spans="81:107">
      <c r="CC209">
        <f t="shared" si="5"/>
        <v>0</v>
      </c>
      <c r="CD209" s="21">
        <f t="shared" si="6"/>
        <v>0</v>
      </c>
      <c r="CE209" t="s">
        <v>20</v>
      </c>
      <c r="CF209" s="304" t="str">
        <f t="shared" si="7"/>
        <v>0%</v>
      </c>
      <c r="CG209" s="304" t="str">
        <f t="shared" si="8"/>
        <v>0%</v>
      </c>
      <c r="CH209" s="304" t="str">
        <f t="shared" si="9"/>
        <v>0%</v>
      </c>
      <c r="CI209">
        <f t="shared" si="18"/>
        <v>0</v>
      </c>
      <c r="CJ209">
        <f t="shared" si="4"/>
        <v>0</v>
      </c>
      <c r="CK209">
        <f t="shared" si="4"/>
        <v>0</v>
      </c>
      <c r="CL209"/>
      <c r="CM209"/>
      <c r="CN209" s="1">
        <f t="shared" si="10"/>
        <v>0</v>
      </c>
      <c r="CO209" s="21">
        <f t="shared" si="11"/>
        <v>0</v>
      </c>
      <c r="CP209" t="s">
        <v>20</v>
      </c>
      <c r="CQ209" s="304" t="str">
        <f t="shared" si="12"/>
        <v>0%</v>
      </c>
      <c r="CR209" s="304" t="str">
        <f t="shared" si="13"/>
        <v>0%</v>
      </c>
      <c r="CS209" s="304" t="str">
        <f t="shared" si="14"/>
        <v>0%</v>
      </c>
      <c r="CT209">
        <f t="shared" si="15"/>
        <v>0</v>
      </c>
      <c r="CU209">
        <f t="shared" si="16"/>
        <v>0</v>
      </c>
      <c r="CV209">
        <f t="shared" si="17"/>
        <v>0</v>
      </c>
      <c r="CZ209" s="298" t="s">
        <v>410</v>
      </c>
      <c r="DA209" s="301">
        <v>0.27</v>
      </c>
      <c r="DB209" s="301">
        <v>0</v>
      </c>
      <c r="DC209" s="301">
        <v>0</v>
      </c>
    </row>
    <row r="210" spans="81:107">
      <c r="CC210">
        <f t="shared" si="5"/>
        <v>0</v>
      </c>
      <c r="CD210" s="21">
        <f t="shared" si="6"/>
        <v>0</v>
      </c>
      <c r="CE210" t="s">
        <v>20</v>
      </c>
      <c r="CF210" s="304" t="str">
        <f t="shared" si="7"/>
        <v>0%</v>
      </c>
      <c r="CG210" s="304" t="str">
        <f t="shared" si="8"/>
        <v>0%</v>
      </c>
      <c r="CH210" s="304" t="str">
        <f t="shared" si="9"/>
        <v>0%</v>
      </c>
      <c r="CI210">
        <f t="shared" si="18"/>
        <v>0</v>
      </c>
      <c r="CJ210">
        <f t="shared" si="4"/>
        <v>0</v>
      </c>
      <c r="CK210">
        <f t="shared" si="4"/>
        <v>0</v>
      </c>
      <c r="CL210"/>
      <c r="CM210"/>
      <c r="CN210" s="1">
        <f t="shared" si="10"/>
        <v>0</v>
      </c>
      <c r="CO210" s="21">
        <f t="shared" si="11"/>
        <v>0</v>
      </c>
      <c r="CP210" t="s">
        <v>20</v>
      </c>
      <c r="CQ210" s="304" t="str">
        <f t="shared" si="12"/>
        <v>0%</v>
      </c>
      <c r="CR210" s="304" t="str">
        <f t="shared" si="13"/>
        <v>0%</v>
      </c>
      <c r="CS210" s="304" t="str">
        <f t="shared" si="14"/>
        <v>0%</v>
      </c>
      <c r="CT210">
        <f t="shared" si="15"/>
        <v>0</v>
      </c>
      <c r="CU210">
        <f t="shared" si="16"/>
        <v>0</v>
      </c>
      <c r="CV210">
        <f t="shared" si="17"/>
        <v>0</v>
      </c>
      <c r="CZ210" s="299" t="s">
        <v>411</v>
      </c>
      <c r="DA210" s="302">
        <v>0.33500000000000002</v>
      </c>
      <c r="DB210" s="301">
        <v>0</v>
      </c>
      <c r="DC210" s="301">
        <v>0</v>
      </c>
    </row>
    <row r="211" spans="81:107">
      <c r="CC211" t="str">
        <f t="shared" si="5"/>
        <v>NPK 8:16:24</v>
      </c>
      <c r="CD211" s="21">
        <f t="shared" si="6"/>
        <v>0</v>
      </c>
      <c r="CE211" t="s">
        <v>20</v>
      </c>
      <c r="CF211" s="304">
        <f t="shared" ref="CF211:CH212" si="19">+P20</f>
        <v>0.08</v>
      </c>
      <c r="CG211" s="304">
        <f t="shared" si="19"/>
        <v>0.16</v>
      </c>
      <c r="CH211" s="304">
        <f t="shared" si="19"/>
        <v>0.24</v>
      </c>
      <c r="CI211">
        <f t="shared" si="18"/>
        <v>0</v>
      </c>
      <c r="CJ211">
        <f t="shared" si="4"/>
        <v>0</v>
      </c>
      <c r="CK211">
        <f t="shared" si="4"/>
        <v>0</v>
      </c>
      <c r="CL211"/>
      <c r="CM211"/>
      <c r="CN211" s="1" t="str">
        <f t="shared" si="10"/>
        <v>NPK 8:16:24</v>
      </c>
      <c r="CO211" s="21">
        <f t="shared" si="11"/>
        <v>0</v>
      </c>
      <c r="CP211" t="s">
        <v>20</v>
      </c>
      <c r="CQ211" s="278">
        <f t="shared" ref="CQ211:CS212" si="20">+P20</f>
        <v>0.08</v>
      </c>
      <c r="CR211" s="278">
        <f t="shared" si="20"/>
        <v>0.16</v>
      </c>
      <c r="CS211" s="278">
        <f t="shared" si="20"/>
        <v>0.24</v>
      </c>
      <c r="CT211">
        <f t="shared" si="15"/>
        <v>0</v>
      </c>
      <c r="CU211">
        <f t="shared" si="16"/>
        <v>0</v>
      </c>
      <c r="CV211">
        <f t="shared" si="17"/>
        <v>0</v>
      </c>
    </row>
    <row r="212" spans="81:107">
      <c r="CC212">
        <f t="shared" si="5"/>
        <v>0</v>
      </c>
      <c r="CD212" s="21">
        <f t="shared" si="6"/>
        <v>0</v>
      </c>
      <c r="CE212" t="s">
        <v>20</v>
      </c>
      <c r="CF212" s="304">
        <f t="shared" si="19"/>
        <v>0</v>
      </c>
      <c r="CG212" s="304">
        <f t="shared" si="19"/>
        <v>0</v>
      </c>
      <c r="CH212" s="304">
        <f t="shared" si="19"/>
        <v>0</v>
      </c>
      <c r="CI212">
        <f t="shared" si="18"/>
        <v>0</v>
      </c>
      <c r="CJ212">
        <f t="shared" si="4"/>
        <v>0</v>
      </c>
      <c r="CK212">
        <f t="shared" si="4"/>
        <v>0</v>
      </c>
      <c r="CL212"/>
      <c r="CM212"/>
      <c r="CN212" s="1">
        <f t="shared" si="10"/>
        <v>0</v>
      </c>
      <c r="CO212" s="21">
        <f t="shared" si="11"/>
        <v>0</v>
      </c>
      <c r="CP212" t="s">
        <v>20</v>
      </c>
      <c r="CQ212" s="278">
        <f t="shared" si="20"/>
        <v>0</v>
      </c>
      <c r="CR212" s="278">
        <f t="shared" si="20"/>
        <v>0</v>
      </c>
      <c r="CS212" s="278">
        <f t="shared" si="20"/>
        <v>0</v>
      </c>
      <c r="CT212">
        <f t="shared" si="15"/>
        <v>0</v>
      </c>
      <c r="CU212">
        <f t="shared" si="16"/>
        <v>0</v>
      </c>
      <c r="CV212">
        <f t="shared" si="17"/>
        <v>0</v>
      </c>
    </row>
    <row r="213" spans="81:107">
      <c r="CC213" t="s">
        <v>384</v>
      </c>
      <c r="CD213" s="21">
        <f>+F14/1000</f>
        <v>0</v>
      </c>
      <c r="CE213" t="s">
        <v>2</v>
      </c>
      <c r="CF213" s="310">
        <v>6.4999999999999997E-3</v>
      </c>
      <c r="CG213" s="279">
        <v>3.0000000000000001E-3</v>
      </c>
      <c r="CH213" s="279">
        <v>6.0000000000000001E-3</v>
      </c>
      <c r="CI213">
        <f>CD213*CF213*1000*IF(CD214=1,50%,IF(CD214=2,30%,IF(CD214=3,20%,IF(CD214&gt;3,0))))</f>
        <v>0</v>
      </c>
      <c r="CJ213">
        <f>CD213*CG213*1000*IF(CD214=1,50%,IF(CD214=2,30%,IF(CD214=3,20%,IF(CD214&gt;3,0))))</f>
        <v>0</v>
      </c>
      <c r="CK213">
        <f>CD213*CH213*1000*IF(CD214=1,50%,IF(CD214=2,30%,IF(CD214=3,20%,IF(CD214&gt;3,0))))</f>
        <v>0</v>
      </c>
      <c r="CL213"/>
      <c r="CM213"/>
      <c r="CN213" t="s">
        <v>384</v>
      </c>
      <c r="CO213" s="21">
        <f>+F14/1000</f>
        <v>0</v>
      </c>
      <c r="CP213" t="s">
        <v>2</v>
      </c>
      <c r="CQ213" s="310">
        <v>6.4999999999999997E-3</v>
      </c>
      <c r="CR213" s="279">
        <v>3.0000000000000001E-3</v>
      </c>
      <c r="CS213" s="279">
        <v>6.0000000000000001E-3</v>
      </c>
      <c r="CT213">
        <f>CO213*CQ213*1000*IF(CO214=1,50%,IF(CO214=2,30%,IF(CO214=3,20%,IF(CO214&gt;3,0))))</f>
        <v>0</v>
      </c>
      <c r="CU213">
        <f>CO213*CR213*1000*IF(CO214=1,50%,IF(CO214=2,30%,IF(CO214=3,20%,IF(CO214&gt;3,0))))</f>
        <v>0</v>
      </c>
      <c r="CV213">
        <f>CO213*CS213*1000*IF(CO214=1,50%,IF(CO214=2,30%,IF(CO214=3,20%,IF(CO214&gt;3,0))))</f>
        <v>0</v>
      </c>
    </row>
    <row r="214" spans="81:107">
      <c r="CC214" t="s">
        <v>385</v>
      </c>
      <c r="CD214" s="306">
        <f>+E14</f>
        <v>5</v>
      </c>
      <c r="CE214" s="280" t="s">
        <v>386</v>
      </c>
      <c r="CF214"/>
      <c r="CG214"/>
      <c r="CH214"/>
      <c r="CI214"/>
      <c r="CJ214"/>
      <c r="CK214"/>
      <c r="CL214"/>
      <c r="CM214"/>
      <c r="CN214" t="s">
        <v>385</v>
      </c>
      <c r="CO214" s="306">
        <f>+E14</f>
        <v>5</v>
      </c>
      <c r="CP214" s="280" t="s">
        <v>386</v>
      </c>
      <c r="CQ214"/>
      <c r="CR214"/>
      <c r="CS214"/>
      <c r="CT214"/>
      <c r="CU214"/>
      <c r="CV214"/>
    </row>
    <row r="215" spans="81:107">
      <c r="CC215" t="s">
        <v>76</v>
      </c>
      <c r="CD215"/>
      <c r="CE215"/>
      <c r="CF215"/>
      <c r="CG215"/>
      <c r="CH215"/>
      <c r="CI215">
        <f>SUM(CI206:CI214)</f>
        <v>140.5</v>
      </c>
      <c r="CJ215">
        <f>SUM(CJ206:CJ214)</f>
        <v>89.5</v>
      </c>
      <c r="CK215">
        <f>SUM(CK206:CK214)</f>
        <v>37.5</v>
      </c>
      <c r="CL215"/>
      <c r="CM215"/>
      <c r="CN215" t="s">
        <v>76</v>
      </c>
      <c r="CO215"/>
      <c r="CP215"/>
      <c r="CQ215"/>
      <c r="CR215"/>
      <c r="CS215"/>
      <c r="CT215">
        <f>SUM(CT206:CT214)</f>
        <v>140.5</v>
      </c>
      <c r="CU215">
        <f>SUM(CU206:CU214)</f>
        <v>89.5</v>
      </c>
      <c r="CV215">
        <f>SUM(CV206:CV214)</f>
        <v>37.5</v>
      </c>
    </row>
    <row r="216" spans="81:107">
      <c r="CC216" s="311" t="s">
        <v>436</v>
      </c>
      <c r="CD216" s="281">
        <f>+F8/1000</f>
        <v>3.5</v>
      </c>
      <c r="CE216" t="s">
        <v>2</v>
      </c>
      <c r="CF216"/>
      <c r="CG216"/>
      <c r="CH216"/>
      <c r="CI216"/>
      <c r="CJ216"/>
      <c r="CK216"/>
      <c r="CL216"/>
      <c r="CM216"/>
      <c r="CN216" s="311" t="s">
        <v>436</v>
      </c>
      <c r="CO216" s="282">
        <f>+CD216</f>
        <v>3.5</v>
      </c>
      <c r="CP216" t="s">
        <v>2</v>
      </c>
      <c r="CQ216"/>
      <c r="CR216"/>
      <c r="CS216"/>
      <c r="CT216"/>
      <c r="CU216"/>
      <c r="CV216"/>
    </row>
    <row r="217" spans="81:107">
      <c r="CC217" s="311" t="s">
        <v>423</v>
      </c>
      <c r="CD217"/>
      <c r="CE217" t="s">
        <v>390</v>
      </c>
      <c r="CF217"/>
      <c r="CG217"/>
      <c r="CH217"/>
      <c r="CI217" s="283">
        <v>41</v>
      </c>
      <c r="CJ217" s="283">
        <v>21</v>
      </c>
      <c r="CK217" s="283">
        <v>10</v>
      </c>
      <c r="CL217"/>
      <c r="CM217"/>
      <c r="CN217" s="311" t="s">
        <v>423</v>
      </c>
      <c r="CO217"/>
      <c r="CP217" t="s">
        <v>390</v>
      </c>
      <c r="CQ217"/>
      <c r="CR217"/>
      <c r="CS217"/>
      <c r="CT217" s="283">
        <v>55</v>
      </c>
      <c r="CU217" s="283">
        <v>28</v>
      </c>
      <c r="CV217" s="283">
        <v>50</v>
      </c>
    </row>
    <row r="218" spans="81:107" ht="15" thickBot="1">
      <c r="CC218" s="311" t="s">
        <v>423</v>
      </c>
      <c r="CD218"/>
      <c r="CE218" t="s">
        <v>20</v>
      </c>
      <c r="CF218"/>
      <c r="CG218"/>
      <c r="CH218"/>
      <c r="CI218">
        <f>CD216*CI217</f>
        <v>143.5</v>
      </c>
      <c r="CJ218">
        <f>CD216*CJ217</f>
        <v>73.5</v>
      </c>
      <c r="CK218">
        <f>CD216*CK217</f>
        <v>35</v>
      </c>
      <c r="CL218"/>
      <c r="CM218"/>
      <c r="CN218" s="311" t="s">
        <v>423</v>
      </c>
      <c r="CO218"/>
      <c r="CP218" t="s">
        <v>20</v>
      </c>
      <c r="CQ218"/>
      <c r="CR218"/>
      <c r="CS218"/>
      <c r="CT218">
        <f>CO216*CT217</f>
        <v>192.5</v>
      </c>
      <c r="CU218">
        <f>CO216*CU217</f>
        <v>98</v>
      </c>
      <c r="CV218">
        <f>CO216*CV217</f>
        <v>175</v>
      </c>
    </row>
    <row r="219" spans="81:107" ht="16.5" thickTop="1" thickBot="1">
      <c r="CC219" s="284" t="s">
        <v>391</v>
      </c>
      <c r="CD219" s="285"/>
      <c r="CE219" s="285" t="s">
        <v>20</v>
      </c>
      <c r="CF219" s="285"/>
      <c r="CG219" s="285"/>
      <c r="CH219" s="285"/>
      <c r="CI219" s="286">
        <f>SUM(CI215:CI215)-CI218</f>
        <v>-3</v>
      </c>
      <c r="CJ219" s="287">
        <f>CJ215-CJ218</f>
        <v>16</v>
      </c>
      <c r="CK219" s="288">
        <f>CK215-CK218</f>
        <v>2.5</v>
      </c>
      <c r="CL219"/>
      <c r="CM219"/>
      <c r="CN219" s="284" t="s">
        <v>391</v>
      </c>
      <c r="CO219" s="285"/>
      <c r="CP219" s="285" t="s">
        <v>20</v>
      </c>
      <c r="CQ219" s="285"/>
      <c r="CR219" s="285"/>
      <c r="CS219" s="285"/>
      <c r="CT219" s="285">
        <f>SUM(CT215:CT215)-CT218</f>
        <v>-52</v>
      </c>
      <c r="CU219" s="288">
        <f>CU215-CU218</f>
        <v>-8.5</v>
      </c>
      <c r="CV219" s="288">
        <f>CV215-CV218</f>
        <v>-137.5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303">
        <f>+Inputi!D8</f>
        <v>73.91304347826086</v>
      </c>
      <c r="CJ221" s="303">
        <f>+Inputi!E8</f>
        <v>90.168896321070235</v>
      </c>
      <c r="CK221" s="303">
        <f>+Inputi!F8</f>
        <v>42.600936454849503</v>
      </c>
      <c r="CL221"/>
      <c r="CM221"/>
      <c r="CN221" t="s">
        <v>5</v>
      </c>
      <c r="CO221"/>
      <c r="CP221"/>
      <c r="CQ221"/>
      <c r="CR221"/>
      <c r="CS221"/>
      <c r="CT221" s="303">
        <f>+Inputi!D8</f>
        <v>73.91304347826086</v>
      </c>
      <c r="CU221" s="303">
        <f>+Inputi!E8</f>
        <v>90.168896321070235</v>
      </c>
      <c r="CV221" s="303">
        <f>+Inputi!F8</f>
        <v>42.600936454849503</v>
      </c>
    </row>
    <row r="222" spans="81:107" ht="15">
      <c r="CC222" s="276" t="s">
        <v>392</v>
      </c>
      <c r="CD222" s="289">
        <f>SUMPRODUCT(CI221:CK221,CI215:CK215)</f>
        <v>20052.433946488294</v>
      </c>
      <c r="CE222"/>
      <c r="CF222"/>
      <c r="CG222"/>
      <c r="CH222"/>
      <c r="CI222"/>
      <c r="CJ222"/>
      <c r="CK222"/>
      <c r="CL222"/>
      <c r="CM222"/>
      <c r="CN222" s="276" t="s">
        <v>392</v>
      </c>
      <c r="CO222" s="289">
        <f>SUMPRODUCT(CT221:CV221,CT215:CV215)</f>
        <v>20052.433946488294</v>
      </c>
      <c r="CP222"/>
      <c r="CQ222"/>
      <c r="CR222"/>
      <c r="CS222"/>
      <c r="CT222"/>
      <c r="CU222"/>
      <c r="CV222"/>
    </row>
    <row r="223" spans="81:107" ht="15.75">
      <c r="CC223" s="290" t="s">
        <v>393</v>
      </c>
      <c r="CD223" s="291">
        <f>CI218*CI221+CJ218*CJ221+CK218*CK221</f>
        <v>18724.968394648829</v>
      </c>
      <c r="CE223"/>
      <c r="CF223"/>
      <c r="CG223"/>
      <c r="CH223"/>
      <c r="CI223"/>
      <c r="CJ223"/>
      <c r="CK223"/>
      <c r="CL223"/>
      <c r="CM223"/>
      <c r="CN223" s="290" t="s">
        <v>393</v>
      </c>
      <c r="CO223" s="291">
        <f>CT218*CT221+CU218*CU221+CV218*CV221</f>
        <v>30519.976588628761</v>
      </c>
      <c r="CP223"/>
      <c r="CQ223"/>
      <c r="CR223"/>
      <c r="CS223"/>
      <c r="CT223"/>
      <c r="CU223"/>
      <c r="CV223"/>
    </row>
    <row r="224" spans="81:107" ht="30">
      <c r="CC224" s="309" t="s">
        <v>394</v>
      </c>
      <c r="CD224" s="292">
        <f>CJ219*CJ221+CK219*CK221</f>
        <v>1549.2046822742475</v>
      </c>
      <c r="CE224"/>
      <c r="CF224"/>
      <c r="CG224"/>
      <c r="CH224"/>
      <c r="CI224"/>
      <c r="CJ224"/>
      <c r="CK224"/>
      <c r="CL224"/>
      <c r="CM224"/>
      <c r="CN224" s="309" t="s">
        <v>394</v>
      </c>
      <c r="CO224" s="292">
        <f>CU219*CU221+CV219*CV221</f>
        <v>-6624.0643812709031</v>
      </c>
      <c r="CP224"/>
      <c r="CQ224"/>
      <c r="CR224"/>
      <c r="CS224"/>
      <c r="CT224"/>
      <c r="CU224"/>
      <c r="CV224"/>
    </row>
  </sheetData>
  <sheetProtection password="B310" sheet="1" objects="1" scenarios="1"/>
  <protectedRanges>
    <protectedRange sqref="P20:R21" name="Range9"/>
    <protectedRange sqref="D101:D102" name="Range7"/>
    <protectedRange sqref="D98:D99" name="Range6"/>
    <protectedRange sqref="I96:J96" name="Range5"/>
    <protectedRange sqref="F96:G96" name="Range4"/>
    <protectedRange sqref="D12:I44" name="Range3"/>
    <protectedRange sqref="F8:I9" name="Range2"/>
    <protectedRange sqref="F4" name="Range1"/>
    <protectedRange sqref="L4:L46" name="Range8"/>
  </protectedRanges>
  <conditionalFormatting sqref="P5">
    <cfRule type="cellIs" dxfId="23" priority="6" operator="lessThan">
      <formula>0</formula>
    </cfRule>
  </conditionalFormatting>
  <conditionalFormatting sqref="Q5">
    <cfRule type="cellIs" dxfId="22" priority="5" operator="lessThan">
      <formula>0</formula>
    </cfRule>
  </conditionalFormatting>
  <conditionalFormatting sqref="R5">
    <cfRule type="cellIs" dxfId="21" priority="4" operator="lessThan">
      <formula>0</formula>
    </cfRule>
  </conditionalFormatting>
  <conditionalFormatting sqref="P7">
    <cfRule type="cellIs" dxfId="20" priority="3" operator="lessThan">
      <formula>0</formula>
    </cfRule>
  </conditionalFormatting>
  <conditionalFormatting sqref="Q7">
    <cfRule type="cellIs" dxfId="19" priority="2" operator="lessThan">
      <formula>0</formula>
    </cfRule>
  </conditionalFormatting>
  <conditionalFormatting sqref="R7">
    <cfRule type="cellIs" dxfId="18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verticalDpi="0" r:id="rId1"/>
  <rowBreaks count="1" manualBreakCount="1">
    <brk id="48" max="9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1:DC224"/>
  <sheetViews>
    <sheetView zoomScale="120" zoomScaleNormal="120" zoomScaleSheetLayoutView="100" workbookViewId="0">
      <selection activeCell="H9" sqref="H9"/>
    </sheetView>
  </sheetViews>
  <sheetFormatPr defaultRowHeight="14.25"/>
  <cols>
    <col min="1" max="1" width="2.7109375" style="3" customWidth="1"/>
    <col min="2" max="2" width="3.5703125" style="3" bestFit="1" customWidth="1"/>
    <col min="3" max="3" width="6.7109375" style="3" customWidth="1"/>
    <col min="4" max="4" width="21.28515625" style="3" customWidth="1"/>
    <col min="5" max="5" width="7.7109375" style="3" customWidth="1"/>
    <col min="6" max="6" width="12" style="3" customWidth="1"/>
    <col min="7" max="7" width="10" style="3" customWidth="1"/>
    <col min="8" max="8" width="14.28515625" style="3" bestFit="1" customWidth="1"/>
    <col min="9" max="9" width="10.42578125" style="3" customWidth="1"/>
    <col min="10" max="10" width="14.7109375" style="3" customWidth="1"/>
    <col min="11" max="11" width="2.42578125" style="3" customWidth="1"/>
    <col min="12" max="12" width="10.5703125" style="2" customWidth="1"/>
    <col min="13" max="14" width="2.28515625" style="3" customWidth="1"/>
    <col min="15" max="15" width="20.7109375" style="3" customWidth="1"/>
    <col min="16" max="18" width="9.140625" style="3"/>
    <col min="19" max="19" width="19.85546875" style="3" customWidth="1"/>
    <col min="20" max="80" width="9.140625" style="3"/>
    <col min="81" max="81" width="19.28515625" style="3" customWidth="1"/>
    <col min="82" max="89" width="9.140625" style="3"/>
    <col min="90" max="91" width="3" style="3" customWidth="1"/>
    <col min="92" max="92" width="19.5703125" style="3" customWidth="1"/>
    <col min="93" max="100" width="9.140625" style="3"/>
    <col min="101" max="103" width="3.42578125" style="3" customWidth="1"/>
    <col min="104" max="104" width="12.5703125" style="3" bestFit="1" customWidth="1"/>
    <col min="105" max="16384" width="9.140625" style="3"/>
  </cols>
  <sheetData>
    <row r="1" spans="2:18" ht="23.25">
      <c r="C1" s="82" t="s">
        <v>440</v>
      </c>
      <c r="O1" s="331" t="s">
        <v>426</v>
      </c>
      <c r="P1" s="331"/>
      <c r="Q1" s="331"/>
      <c r="R1" s="331"/>
    </row>
    <row r="2" spans="2:18">
      <c r="O2" s="331" t="s">
        <v>428</v>
      </c>
      <c r="P2" s="331"/>
      <c r="Q2" s="331"/>
      <c r="R2" s="331"/>
    </row>
    <row r="3" spans="2:18" ht="15.75" thickBot="1">
      <c r="C3" s="89" t="s">
        <v>134</v>
      </c>
      <c r="D3" s="89"/>
      <c r="E3" s="89"/>
      <c r="F3" s="89"/>
      <c r="G3" s="89"/>
      <c r="H3" s="89"/>
      <c r="L3" s="81" t="s">
        <v>0</v>
      </c>
      <c r="O3" s="317"/>
      <c r="P3" s="316" t="s">
        <v>381</v>
      </c>
      <c r="Q3" s="316" t="s">
        <v>415</v>
      </c>
      <c r="R3" s="316" t="s">
        <v>416</v>
      </c>
    </row>
    <row r="4" spans="2:18" ht="15.75" thickBot="1">
      <c r="C4" s="90" t="s">
        <v>137</v>
      </c>
      <c r="D4" s="90"/>
      <c r="E4" s="90"/>
      <c r="F4" s="98">
        <v>2018</v>
      </c>
      <c r="L4" s="25"/>
      <c r="O4" s="318" t="s">
        <v>427</v>
      </c>
      <c r="P4" s="319">
        <f t="shared" ref="P4:R5" si="0">+CI218</f>
        <v>121.00000000000001</v>
      </c>
      <c r="Q4" s="319">
        <f t="shared" si="0"/>
        <v>55</v>
      </c>
      <c r="R4" s="319">
        <f t="shared" si="0"/>
        <v>110</v>
      </c>
    </row>
    <row r="5" spans="2:18" ht="15.75" thickBot="1">
      <c r="L5" s="26"/>
      <c r="O5" s="332" t="s">
        <v>429</v>
      </c>
      <c r="P5" s="333">
        <f t="shared" si="0"/>
        <v>-3.5000000000000142</v>
      </c>
      <c r="Q5" s="333">
        <f t="shared" si="0"/>
        <v>2.5</v>
      </c>
      <c r="R5" s="333">
        <f t="shared" si="0"/>
        <v>7.5</v>
      </c>
    </row>
    <row r="6" spans="2:18" ht="38.25">
      <c r="E6" s="150" t="s">
        <v>150</v>
      </c>
      <c r="F6" s="123" t="s">
        <v>3</v>
      </c>
      <c r="G6" s="125" t="s">
        <v>4</v>
      </c>
      <c r="H6" s="123" t="s">
        <v>5</v>
      </c>
      <c r="I6" s="125" t="s">
        <v>4</v>
      </c>
      <c r="J6" s="123" t="s">
        <v>63</v>
      </c>
      <c r="L6" s="26"/>
      <c r="O6" s="324" t="s">
        <v>454</v>
      </c>
      <c r="P6" s="323" t="str">
        <f t="shared" ref="P6:R7" si="1">IF($J$9&gt;100,CT218,"0")</f>
        <v>0</v>
      </c>
      <c r="Q6" s="323" t="str">
        <f t="shared" si="1"/>
        <v>0</v>
      </c>
      <c r="R6" s="323" t="str">
        <f t="shared" si="1"/>
        <v>0</v>
      </c>
    </row>
    <row r="7" spans="2:18" ht="15.75" thickBot="1">
      <c r="B7" s="32" t="s">
        <v>6</v>
      </c>
      <c r="C7" s="33" t="s">
        <v>7</v>
      </c>
      <c r="D7" s="34"/>
      <c r="E7" s="35"/>
      <c r="F7" s="4"/>
      <c r="G7" s="4"/>
      <c r="H7" s="4"/>
      <c r="I7" s="4"/>
      <c r="J7" s="4"/>
      <c r="L7" s="27"/>
      <c r="O7" s="332" t="s">
        <v>429</v>
      </c>
      <c r="P7" s="336" t="str">
        <f t="shared" si="1"/>
        <v>0</v>
      </c>
      <c r="Q7" s="337" t="str">
        <f t="shared" si="1"/>
        <v>0</v>
      </c>
      <c r="R7" s="337" t="str">
        <f t="shared" si="1"/>
        <v>0</v>
      </c>
    </row>
    <row r="8" spans="2:18" ht="15">
      <c r="B8" s="5" t="s">
        <v>8</v>
      </c>
      <c r="C8" s="36" t="s">
        <v>138</v>
      </c>
      <c r="E8" s="37">
        <v>1</v>
      </c>
      <c r="F8" s="83">
        <v>55000</v>
      </c>
      <c r="G8" s="128" t="s">
        <v>20</v>
      </c>
      <c r="H8" s="340">
        <v>5</v>
      </c>
      <c r="I8" s="128" t="s">
        <v>21</v>
      </c>
      <c r="J8" s="38">
        <f>E8*F8*H8</f>
        <v>275000</v>
      </c>
      <c r="L8" s="26"/>
    </row>
    <row r="9" spans="2:18" ht="15.75" thickBot="1">
      <c r="B9" s="5" t="s">
        <v>11</v>
      </c>
      <c r="C9" s="327" t="s">
        <v>457</v>
      </c>
      <c r="D9" s="4"/>
      <c r="E9" s="39">
        <v>1</v>
      </c>
      <c r="F9" s="99">
        <v>20</v>
      </c>
      <c r="G9" s="4" t="s">
        <v>2</v>
      </c>
      <c r="H9" s="341"/>
      <c r="I9" s="4" t="s">
        <v>10</v>
      </c>
      <c r="J9" s="40">
        <f>E9*F9*H9</f>
        <v>0</v>
      </c>
      <c r="L9" s="26"/>
    </row>
    <row r="10" spans="2:18" ht="15.75" thickBot="1">
      <c r="B10" s="41"/>
      <c r="C10" s="42" t="s">
        <v>46</v>
      </c>
      <c r="D10" s="43"/>
      <c r="E10" s="43"/>
      <c r="F10" s="44"/>
      <c r="G10" s="45"/>
      <c r="H10" s="44"/>
      <c r="I10" s="45"/>
      <c r="J10" s="46">
        <f>SUM(J8:J9)</f>
        <v>275000</v>
      </c>
      <c r="L10" s="26"/>
    </row>
    <row r="11" spans="2:18" ht="15">
      <c r="B11" s="47" t="s">
        <v>13</v>
      </c>
      <c r="C11" s="29" t="s">
        <v>14</v>
      </c>
      <c r="E11" s="48"/>
      <c r="F11" s="8"/>
      <c r="H11" s="8"/>
      <c r="J11" s="49"/>
      <c r="L11" s="26"/>
    </row>
    <row r="12" spans="2:18">
      <c r="B12" s="5" t="s">
        <v>8</v>
      </c>
      <c r="C12" s="4" t="s">
        <v>15</v>
      </c>
      <c r="E12" s="65">
        <v>1</v>
      </c>
      <c r="F12" s="50">
        <v>1.2</v>
      </c>
      <c r="G12" s="4" t="s">
        <v>16</v>
      </c>
      <c r="H12" s="51">
        <v>15500</v>
      </c>
      <c r="I12" s="4" t="s">
        <v>17</v>
      </c>
      <c r="J12" s="49">
        <f t="shared" ref="J12" si="2">E12*F12*H12</f>
        <v>18600</v>
      </c>
      <c r="L12" s="26"/>
    </row>
    <row r="13" spans="2:18">
      <c r="B13" s="10" t="s">
        <v>11</v>
      </c>
      <c r="C13" s="4" t="s">
        <v>106</v>
      </c>
      <c r="E13" s="65"/>
      <c r="F13" s="9"/>
      <c r="G13" s="4"/>
      <c r="H13" s="9"/>
      <c r="I13" s="4"/>
      <c r="J13" s="49"/>
      <c r="L13" s="26"/>
    </row>
    <row r="14" spans="2:18">
      <c r="C14" s="11"/>
      <c r="D14" s="52" t="s">
        <v>19</v>
      </c>
      <c r="E14" s="305">
        <v>1</v>
      </c>
      <c r="F14" s="51">
        <v>0</v>
      </c>
      <c r="G14" s="4" t="s">
        <v>96</v>
      </c>
      <c r="H14" s="66">
        <v>0</v>
      </c>
      <c r="I14" s="4" t="s">
        <v>21</v>
      </c>
      <c r="J14" s="49">
        <f>H14*F14*IF(E14=1,0.5, IF(E14=2,0.3,IF(E14=3,0.2,"0")))</f>
        <v>0</v>
      </c>
      <c r="L14" s="26" t="s">
        <v>420</v>
      </c>
    </row>
    <row r="15" spans="2:18">
      <c r="D15" s="52" t="s">
        <v>408</v>
      </c>
      <c r="E15" s="65">
        <v>1</v>
      </c>
      <c r="F15" s="51">
        <v>250</v>
      </c>
      <c r="G15" s="4" t="s">
        <v>96</v>
      </c>
      <c r="H15" s="66">
        <v>40</v>
      </c>
      <c r="I15" s="4" t="s">
        <v>21</v>
      </c>
      <c r="J15" s="49">
        <f t="shared" ref="J15:J47" si="3">E15*F15*H15</f>
        <v>10000</v>
      </c>
      <c r="L15" s="26"/>
    </row>
    <row r="16" spans="2:18">
      <c r="D16" s="52"/>
      <c r="E16" s="65">
        <v>1</v>
      </c>
      <c r="F16" s="51"/>
      <c r="G16" s="4" t="s">
        <v>96</v>
      </c>
      <c r="H16" s="66"/>
      <c r="I16" s="4" t="s">
        <v>21</v>
      </c>
      <c r="J16" s="49">
        <f t="shared" si="3"/>
        <v>0</v>
      </c>
      <c r="L16" s="26"/>
    </row>
    <row r="17" spans="2:18">
      <c r="D17" s="52"/>
      <c r="E17" s="65">
        <v>1</v>
      </c>
      <c r="F17" s="51"/>
      <c r="G17" s="4" t="s">
        <v>96</v>
      </c>
      <c r="H17" s="66"/>
      <c r="I17" s="4" t="s">
        <v>21</v>
      </c>
      <c r="J17" s="49">
        <f t="shared" si="3"/>
        <v>0</v>
      </c>
      <c r="L17" s="26"/>
    </row>
    <row r="18" spans="2:18">
      <c r="D18" s="52"/>
      <c r="E18" s="65">
        <v>1</v>
      </c>
      <c r="F18" s="51"/>
      <c r="G18" s="4" t="s">
        <v>96</v>
      </c>
      <c r="H18" s="66"/>
      <c r="I18" s="4" t="s">
        <v>21</v>
      </c>
      <c r="J18" s="49">
        <f t="shared" si="3"/>
        <v>0</v>
      </c>
      <c r="L18" s="26"/>
    </row>
    <row r="19" spans="2:18" ht="15">
      <c r="D19" s="52"/>
      <c r="E19" s="65">
        <v>1</v>
      </c>
      <c r="F19" s="51"/>
      <c r="G19" s="4" t="s">
        <v>96</v>
      </c>
      <c r="H19" s="66"/>
      <c r="I19" s="4" t="s">
        <v>21</v>
      </c>
      <c r="J19" s="49">
        <f t="shared" si="3"/>
        <v>0</v>
      </c>
      <c r="L19" s="26"/>
      <c r="P19" s="307" t="s">
        <v>381</v>
      </c>
      <c r="Q19" s="307" t="s">
        <v>415</v>
      </c>
      <c r="R19" s="307" t="s">
        <v>416</v>
      </c>
    </row>
    <row r="20" spans="2:18">
      <c r="D20" s="320" t="s">
        <v>450</v>
      </c>
      <c r="E20" s="65">
        <v>1</v>
      </c>
      <c r="F20" s="51">
        <v>400</v>
      </c>
      <c r="G20" s="4" t="s">
        <v>96</v>
      </c>
      <c r="H20" s="66">
        <v>40</v>
      </c>
      <c r="I20" s="4" t="s">
        <v>21</v>
      </c>
      <c r="J20" s="49">
        <f t="shared" si="3"/>
        <v>16000</v>
      </c>
      <c r="L20" s="321" t="s">
        <v>430</v>
      </c>
      <c r="P20" s="308">
        <v>0.2</v>
      </c>
      <c r="Q20" s="308">
        <v>0.05</v>
      </c>
      <c r="R20" s="308">
        <v>0.2</v>
      </c>
    </row>
    <row r="21" spans="2:18">
      <c r="D21" s="320"/>
      <c r="E21" s="65">
        <v>1</v>
      </c>
      <c r="F21" s="51"/>
      <c r="G21" s="4" t="s">
        <v>96</v>
      </c>
      <c r="H21" s="66"/>
      <c r="I21" s="4" t="s">
        <v>21</v>
      </c>
      <c r="J21" s="49">
        <f t="shared" si="3"/>
        <v>0</v>
      </c>
      <c r="L21" s="321" t="s">
        <v>430</v>
      </c>
      <c r="P21" s="308">
        <v>0</v>
      </c>
      <c r="Q21" s="308">
        <v>0</v>
      </c>
      <c r="R21" s="308">
        <v>0</v>
      </c>
    </row>
    <row r="22" spans="2:18">
      <c r="B22" s="10" t="s">
        <v>22</v>
      </c>
      <c r="C22" s="17" t="s">
        <v>23</v>
      </c>
      <c r="E22" s="31"/>
      <c r="G22" s="4"/>
      <c r="I22" s="4"/>
      <c r="J22" s="49"/>
      <c r="L22" s="26"/>
    </row>
    <row r="23" spans="2:18">
      <c r="D23" s="52" t="s">
        <v>139</v>
      </c>
      <c r="E23" s="65">
        <v>1</v>
      </c>
      <c r="F23" s="66">
        <v>3.2</v>
      </c>
      <c r="G23" s="4" t="s">
        <v>93</v>
      </c>
      <c r="H23" s="99">
        <v>4000</v>
      </c>
      <c r="I23" s="4" t="s">
        <v>34</v>
      </c>
      <c r="J23" s="49">
        <f t="shared" si="3"/>
        <v>12800</v>
      </c>
      <c r="L23" s="26"/>
    </row>
    <row r="24" spans="2:18">
      <c r="D24" s="52" t="s">
        <v>140</v>
      </c>
      <c r="E24" s="65">
        <v>1</v>
      </c>
      <c r="F24" s="66">
        <v>3</v>
      </c>
      <c r="G24" s="4" t="s">
        <v>93</v>
      </c>
      <c r="H24" s="51">
        <v>2500</v>
      </c>
      <c r="I24" s="4" t="s">
        <v>34</v>
      </c>
      <c r="J24" s="49">
        <f t="shared" si="3"/>
        <v>7500</v>
      </c>
      <c r="L24" s="26"/>
    </row>
    <row r="25" spans="2:18">
      <c r="D25" s="52" t="s">
        <v>141</v>
      </c>
      <c r="E25" s="65">
        <v>1</v>
      </c>
      <c r="F25" s="66">
        <v>1.3</v>
      </c>
      <c r="G25" s="4" t="s">
        <v>93</v>
      </c>
      <c r="H25" s="51">
        <v>3500</v>
      </c>
      <c r="I25" s="4" t="s">
        <v>34</v>
      </c>
      <c r="J25" s="49">
        <f t="shared" si="3"/>
        <v>4550</v>
      </c>
      <c r="L25" s="26"/>
    </row>
    <row r="26" spans="2:18">
      <c r="D26" s="52" t="s">
        <v>142</v>
      </c>
      <c r="E26" s="65">
        <v>1</v>
      </c>
      <c r="F26" s="66">
        <v>50</v>
      </c>
      <c r="G26" s="4" t="s">
        <v>143</v>
      </c>
      <c r="H26" s="51">
        <v>115</v>
      </c>
      <c r="I26" s="4" t="s">
        <v>144</v>
      </c>
      <c r="J26" s="49">
        <f t="shared" si="3"/>
        <v>5750</v>
      </c>
      <c r="L26" s="26"/>
    </row>
    <row r="27" spans="2:18">
      <c r="D27" s="52" t="s">
        <v>145</v>
      </c>
      <c r="E27" s="65">
        <v>1</v>
      </c>
      <c r="F27" s="66">
        <v>1.2</v>
      </c>
      <c r="G27" s="4" t="s">
        <v>93</v>
      </c>
      <c r="H27" s="51">
        <v>3100</v>
      </c>
      <c r="I27" s="4" t="s">
        <v>34</v>
      </c>
      <c r="J27" s="49">
        <f t="shared" si="3"/>
        <v>3720</v>
      </c>
      <c r="L27" s="26"/>
    </row>
    <row r="28" spans="2:18">
      <c r="D28" s="52" t="s">
        <v>146</v>
      </c>
      <c r="E28" s="65">
        <v>1</v>
      </c>
      <c r="F28" s="66">
        <v>0.8</v>
      </c>
      <c r="G28" s="4" t="s">
        <v>93</v>
      </c>
      <c r="H28" s="51">
        <v>4700</v>
      </c>
      <c r="I28" s="4" t="s">
        <v>34</v>
      </c>
      <c r="J28" s="49">
        <f t="shared" si="3"/>
        <v>3760</v>
      </c>
      <c r="L28" s="26"/>
    </row>
    <row r="29" spans="2:18">
      <c r="D29" s="52" t="s">
        <v>147</v>
      </c>
      <c r="E29" s="65">
        <v>1</v>
      </c>
      <c r="F29" s="66">
        <v>5</v>
      </c>
      <c r="G29" s="4" t="s">
        <v>96</v>
      </c>
      <c r="H29" s="51">
        <v>750</v>
      </c>
      <c r="I29" s="4" t="s">
        <v>21</v>
      </c>
      <c r="J29" s="49">
        <f t="shared" si="3"/>
        <v>3750</v>
      </c>
      <c r="L29" s="26"/>
    </row>
    <row r="30" spans="2:18">
      <c r="D30" s="52" t="s">
        <v>148</v>
      </c>
      <c r="E30" s="65">
        <v>1</v>
      </c>
      <c r="F30" s="66">
        <v>2.5</v>
      </c>
      <c r="G30" s="4" t="s">
        <v>93</v>
      </c>
      <c r="H30" s="51">
        <v>1400</v>
      </c>
      <c r="I30" s="4" t="s">
        <v>34</v>
      </c>
      <c r="J30" s="49">
        <f t="shared" si="3"/>
        <v>3500</v>
      </c>
      <c r="L30" s="26"/>
    </row>
    <row r="31" spans="2:18">
      <c r="D31" s="52" t="s">
        <v>149</v>
      </c>
      <c r="E31" s="65">
        <v>1</v>
      </c>
      <c r="F31" s="66">
        <v>0.3</v>
      </c>
      <c r="G31" s="4" t="s">
        <v>93</v>
      </c>
      <c r="H31" s="51">
        <v>9500</v>
      </c>
      <c r="I31" s="4" t="s">
        <v>34</v>
      </c>
      <c r="J31" s="49">
        <f t="shared" si="3"/>
        <v>2850</v>
      </c>
      <c r="L31" s="26"/>
    </row>
    <row r="32" spans="2:18">
      <c r="B32" s="10" t="s">
        <v>30</v>
      </c>
      <c r="C32" s="3" t="s">
        <v>52</v>
      </c>
      <c r="E32" s="31"/>
      <c r="H32" s="8"/>
      <c r="J32" s="49"/>
      <c r="L32" s="26"/>
    </row>
    <row r="33" spans="2:12">
      <c r="C33" s="11" t="s">
        <v>56</v>
      </c>
      <c r="D33" s="17" t="s">
        <v>56</v>
      </c>
      <c r="E33" s="39">
        <v>3</v>
      </c>
      <c r="F33" s="66">
        <v>15</v>
      </c>
      <c r="G33" s="3" t="s">
        <v>93</v>
      </c>
      <c r="H33" s="51">
        <v>145</v>
      </c>
      <c r="I33" s="3" t="s">
        <v>34</v>
      </c>
      <c r="J33" s="49">
        <f t="shared" si="3"/>
        <v>6525</v>
      </c>
      <c r="L33" s="26" t="s">
        <v>104</v>
      </c>
    </row>
    <row r="34" spans="2:12">
      <c r="B34" s="10" t="s">
        <v>35</v>
      </c>
      <c r="C34" s="3" t="s">
        <v>54</v>
      </c>
      <c r="E34" s="39">
        <v>1</v>
      </c>
      <c r="F34" s="66">
        <v>115</v>
      </c>
      <c r="G34" s="3" t="s">
        <v>93</v>
      </c>
      <c r="H34" s="51">
        <f>Inputi!G11</f>
        <v>145</v>
      </c>
      <c r="I34" s="3" t="s">
        <v>34</v>
      </c>
      <c r="J34" s="49">
        <f t="shared" si="3"/>
        <v>16675</v>
      </c>
      <c r="L34" s="26"/>
    </row>
    <row r="35" spans="2:12">
      <c r="B35" s="10" t="s">
        <v>40</v>
      </c>
      <c r="C35" s="3" t="s">
        <v>55</v>
      </c>
      <c r="E35" s="39">
        <v>1</v>
      </c>
      <c r="F35" s="3">
        <v>1</v>
      </c>
      <c r="G35" s="3" t="s">
        <v>1</v>
      </c>
      <c r="H35" s="8">
        <f>Inputi!$F$43*F34</f>
        <v>7609.166666666667</v>
      </c>
      <c r="I35" s="3" t="s">
        <v>37</v>
      </c>
      <c r="J35" s="49">
        <f t="shared" si="3"/>
        <v>7609.166666666667</v>
      </c>
      <c r="L35" s="26"/>
    </row>
    <row r="36" spans="2:12">
      <c r="B36" s="10" t="s">
        <v>60</v>
      </c>
      <c r="C36" s="3" t="s">
        <v>58</v>
      </c>
      <c r="E36" s="31"/>
      <c r="H36" s="8"/>
      <c r="J36" s="49"/>
      <c r="L36" s="26"/>
    </row>
    <row r="37" spans="2:12">
      <c r="B37" s="10"/>
      <c r="C37" s="67"/>
      <c r="D37" s="68" t="s">
        <v>118</v>
      </c>
      <c r="E37" s="65">
        <v>1</v>
      </c>
      <c r="F37" s="66">
        <v>1</v>
      </c>
      <c r="G37" s="3" t="s">
        <v>1</v>
      </c>
      <c r="H37" s="51">
        <v>35000</v>
      </c>
      <c r="I37" s="3" t="s">
        <v>37</v>
      </c>
      <c r="J37" s="49">
        <f t="shared" si="3"/>
        <v>35000</v>
      </c>
      <c r="L37" s="26"/>
    </row>
    <row r="38" spans="2:12">
      <c r="B38" s="10"/>
      <c r="C38" s="67"/>
      <c r="D38" s="68"/>
      <c r="E38" s="65">
        <v>1</v>
      </c>
      <c r="F38" s="66"/>
      <c r="G38" s="3" t="s">
        <v>1</v>
      </c>
      <c r="H38" s="51"/>
      <c r="I38" s="3" t="s">
        <v>37</v>
      </c>
      <c r="J38" s="49">
        <f t="shared" si="3"/>
        <v>0</v>
      </c>
      <c r="L38" s="26"/>
    </row>
    <row r="39" spans="2:12">
      <c r="B39" s="10"/>
      <c r="C39" s="67"/>
      <c r="D39" s="68"/>
      <c r="E39" s="65">
        <v>1</v>
      </c>
      <c r="F39" s="66"/>
      <c r="G39" s="3" t="s">
        <v>1</v>
      </c>
      <c r="H39" s="51"/>
      <c r="I39" s="3" t="s">
        <v>37</v>
      </c>
      <c r="J39" s="49">
        <f t="shared" si="3"/>
        <v>0</v>
      </c>
      <c r="L39" s="26"/>
    </row>
    <row r="40" spans="2:12">
      <c r="B40" s="10"/>
      <c r="C40" s="67"/>
      <c r="D40" s="68"/>
      <c r="E40" s="65">
        <v>1</v>
      </c>
      <c r="F40" s="66"/>
      <c r="G40" s="3" t="s">
        <v>1</v>
      </c>
      <c r="H40" s="51"/>
      <c r="I40" s="3" t="s">
        <v>37</v>
      </c>
      <c r="J40" s="49">
        <f t="shared" si="3"/>
        <v>0</v>
      </c>
      <c r="L40" s="26"/>
    </row>
    <row r="41" spans="2:12">
      <c r="C41" s="67"/>
      <c r="D41" s="68"/>
      <c r="E41" s="65">
        <v>1</v>
      </c>
      <c r="F41" s="66"/>
      <c r="G41" s="3" t="s">
        <v>1</v>
      </c>
      <c r="H41" s="51"/>
      <c r="I41" s="3" t="s">
        <v>37</v>
      </c>
      <c r="J41" s="49">
        <f t="shared" si="3"/>
        <v>0</v>
      </c>
      <c r="L41" s="26"/>
    </row>
    <row r="42" spans="2:12">
      <c r="C42" s="69"/>
      <c r="D42" s="66"/>
      <c r="E42" s="65">
        <v>1</v>
      </c>
      <c r="F42" s="66"/>
      <c r="G42" s="3" t="s">
        <v>1</v>
      </c>
      <c r="H42" s="51"/>
      <c r="I42" s="3" t="s">
        <v>37</v>
      </c>
      <c r="J42" s="49">
        <f t="shared" si="3"/>
        <v>0</v>
      </c>
      <c r="L42" s="26"/>
    </row>
    <row r="43" spans="2:12">
      <c r="B43" s="10" t="s">
        <v>62</v>
      </c>
      <c r="C43" s="3" t="s">
        <v>57</v>
      </c>
      <c r="E43" s="65">
        <v>1</v>
      </c>
      <c r="F43" s="66">
        <v>0</v>
      </c>
      <c r="G43" s="3" t="s">
        <v>100</v>
      </c>
      <c r="H43" s="51">
        <v>0</v>
      </c>
      <c r="I43" s="3" t="s">
        <v>105</v>
      </c>
      <c r="J43" s="49">
        <f t="shared" si="3"/>
        <v>0</v>
      </c>
      <c r="L43" s="26" t="s">
        <v>119</v>
      </c>
    </row>
    <row r="44" spans="2:12">
      <c r="B44" s="10" t="s">
        <v>67</v>
      </c>
      <c r="C44" s="3" t="s">
        <v>271</v>
      </c>
      <c r="E44" s="31"/>
      <c r="H44" s="8"/>
      <c r="J44" s="49"/>
      <c r="L44" s="26"/>
    </row>
    <row r="45" spans="2:12">
      <c r="D45" s="66" t="s">
        <v>95</v>
      </c>
      <c r="E45" s="39">
        <v>1</v>
      </c>
      <c r="F45" s="51">
        <v>55000</v>
      </c>
      <c r="G45" s="3" t="s">
        <v>96</v>
      </c>
      <c r="H45" s="99">
        <v>0</v>
      </c>
      <c r="I45" s="3" t="s">
        <v>21</v>
      </c>
      <c r="J45" s="49">
        <f t="shared" si="3"/>
        <v>0</v>
      </c>
      <c r="L45" s="26"/>
    </row>
    <row r="46" spans="2:12">
      <c r="D46" s="66"/>
      <c r="E46" s="39">
        <v>1</v>
      </c>
      <c r="F46" s="51">
        <v>55000</v>
      </c>
      <c r="G46" s="3" t="s">
        <v>96</v>
      </c>
      <c r="H46" s="99">
        <v>0</v>
      </c>
      <c r="I46" s="3" t="s">
        <v>21</v>
      </c>
      <c r="J46" s="49">
        <f t="shared" si="3"/>
        <v>0</v>
      </c>
      <c r="L46" s="26"/>
    </row>
    <row r="47" spans="2:12" ht="15" thickBot="1">
      <c r="B47" s="3" t="s">
        <v>68</v>
      </c>
      <c r="C47" s="67" t="s">
        <v>374</v>
      </c>
      <c r="D47" s="4"/>
      <c r="E47" s="65">
        <v>1</v>
      </c>
      <c r="F47" s="209">
        <v>1</v>
      </c>
      <c r="G47" s="4" t="s">
        <v>1</v>
      </c>
      <c r="H47" s="51">
        <v>3000</v>
      </c>
      <c r="I47" s="3" t="s">
        <v>37</v>
      </c>
      <c r="J47" s="49">
        <f t="shared" si="3"/>
        <v>3000</v>
      </c>
      <c r="L47" s="26"/>
    </row>
    <row r="48" spans="2:12" ht="15.75" thickBot="1">
      <c r="B48" s="41"/>
      <c r="C48" s="42" t="s">
        <v>101</v>
      </c>
      <c r="D48" s="43"/>
      <c r="E48" s="43"/>
      <c r="F48" s="44"/>
      <c r="G48" s="45"/>
      <c r="H48" s="44"/>
      <c r="I48" s="45"/>
      <c r="J48" s="46">
        <f>SUM(J12:J47)</f>
        <v>161589.16666666669</v>
      </c>
      <c r="L48" s="26"/>
    </row>
    <row r="49" spans="2:12" ht="15.75" thickBot="1">
      <c r="B49" s="70" t="s">
        <v>103</v>
      </c>
      <c r="C49" s="71" t="s">
        <v>102</v>
      </c>
      <c r="D49" s="71"/>
      <c r="E49" s="72"/>
      <c r="F49" s="72"/>
      <c r="G49" s="72"/>
      <c r="H49" s="73"/>
      <c r="I49" s="72"/>
      <c r="J49" s="28">
        <f>J10-J48</f>
        <v>113410.83333333331</v>
      </c>
      <c r="L49" s="26"/>
    </row>
    <row r="50" spans="2:12" ht="16.5" thickTop="1" thickBot="1">
      <c r="B50" s="70" t="s">
        <v>403</v>
      </c>
      <c r="C50" s="71" t="s">
        <v>418</v>
      </c>
      <c r="D50" s="71"/>
      <c r="E50" s="72"/>
      <c r="F50" s="72"/>
      <c r="G50" s="72"/>
      <c r="H50" s="73"/>
      <c r="I50" s="72"/>
      <c r="J50" s="28">
        <f>J10-J48+IF(J9&gt;100,CO224,IF(J9&lt;100,CD224,"0"))</f>
        <v>113955.76259754736</v>
      </c>
      <c r="L50" s="64"/>
    </row>
    <row r="51" spans="2:12" ht="15" thickTop="1"/>
    <row r="52" spans="2:12" ht="15.75" thickBot="1">
      <c r="C52" s="89" t="s">
        <v>255</v>
      </c>
      <c r="D52" s="90"/>
      <c r="E52" s="90"/>
      <c r="F52" s="90"/>
      <c r="G52" s="90"/>
      <c r="H52" s="90"/>
    </row>
    <row r="53" spans="2:12" ht="15" thickBot="1"/>
    <row r="54" spans="2:12" ht="15.75" thickTop="1">
      <c r="C54" s="74" t="s">
        <v>7</v>
      </c>
      <c r="D54" s="75"/>
      <c r="E54" s="75"/>
      <c r="F54" s="76" t="s">
        <v>107</v>
      </c>
    </row>
    <row r="55" spans="2:12">
      <c r="C55" s="53" t="s">
        <v>138</v>
      </c>
      <c r="F55" s="8">
        <f>J8</f>
        <v>275000</v>
      </c>
    </row>
    <row r="56" spans="2:12" ht="15" thickBot="1">
      <c r="C56" s="54"/>
      <c r="F56" s="8">
        <f>J9</f>
        <v>0</v>
      </c>
    </row>
    <row r="57" spans="2:12" ht="15.75" thickBot="1">
      <c r="B57" s="55"/>
      <c r="C57" s="42" t="s">
        <v>46</v>
      </c>
      <c r="D57" s="43"/>
      <c r="E57" s="43"/>
      <c r="F57" s="56">
        <f>J10</f>
        <v>275000</v>
      </c>
    </row>
    <row r="58" spans="2:12" ht="15">
      <c r="B58" s="55"/>
      <c r="C58" s="29" t="s">
        <v>14</v>
      </c>
      <c r="F58" s="8"/>
    </row>
    <row r="59" spans="2:12">
      <c r="C59" s="54" t="s">
        <v>15</v>
      </c>
      <c r="F59" s="8">
        <f>J12</f>
        <v>18600</v>
      </c>
    </row>
    <row r="60" spans="2:12">
      <c r="C60" s="54" t="s">
        <v>106</v>
      </c>
      <c r="F60" s="8">
        <f>SUM(J14:J21)</f>
        <v>26000</v>
      </c>
    </row>
    <row r="61" spans="2:12">
      <c r="C61" s="54" t="s">
        <v>23</v>
      </c>
      <c r="F61" s="8">
        <f>SUM(J23:J31)</f>
        <v>48180</v>
      </c>
    </row>
    <row r="62" spans="2:12">
      <c r="C62" s="54" t="s">
        <v>52</v>
      </c>
      <c r="F62" s="8">
        <f>J33</f>
        <v>6525</v>
      </c>
    </row>
    <row r="63" spans="2:12">
      <c r="C63" s="54" t="s">
        <v>54</v>
      </c>
      <c r="F63" s="8">
        <f>J34</f>
        <v>16675</v>
      </c>
    </row>
    <row r="64" spans="2:12">
      <c r="C64" s="54" t="s">
        <v>55</v>
      </c>
      <c r="F64" s="8">
        <f>J35</f>
        <v>7609.166666666667</v>
      </c>
    </row>
    <row r="65" spans="3:6">
      <c r="C65" s="54" t="s">
        <v>58</v>
      </c>
      <c r="F65" s="8">
        <f>SUM(J37:J42)</f>
        <v>35000</v>
      </c>
    </row>
    <row r="66" spans="3:6">
      <c r="C66" s="54" t="s">
        <v>53</v>
      </c>
      <c r="F66" s="8">
        <f>J43</f>
        <v>0</v>
      </c>
    </row>
    <row r="67" spans="3:6">
      <c r="C67" s="54" t="s">
        <v>271</v>
      </c>
      <c r="F67" s="8">
        <f>SUM(J45:J46)</f>
        <v>0</v>
      </c>
    </row>
    <row r="68" spans="3:6" ht="15" thickBot="1">
      <c r="C68" s="199" t="s">
        <v>374</v>
      </c>
      <c r="F68" s="8">
        <f>J47</f>
        <v>3000</v>
      </c>
    </row>
    <row r="69" spans="3:6" ht="15.75" thickBot="1">
      <c r="C69" s="42" t="s">
        <v>101</v>
      </c>
      <c r="D69" s="43"/>
      <c r="E69" s="43"/>
      <c r="F69" s="56">
        <f>SUM(F59:F68)</f>
        <v>161589.16666666669</v>
      </c>
    </row>
    <row r="70" spans="3:6" ht="15.75" thickBot="1">
      <c r="C70" s="71" t="s">
        <v>42</v>
      </c>
      <c r="D70" s="72"/>
      <c r="E70" s="72"/>
      <c r="F70" s="77">
        <f>F57-F69</f>
        <v>113410.83333333331</v>
      </c>
    </row>
    <row r="71" spans="3:6" ht="15.75" thickTop="1">
      <c r="C71" s="96"/>
      <c r="D71" s="97"/>
      <c r="E71" s="97"/>
      <c r="F71" s="63"/>
    </row>
    <row r="96" spans="4:10" ht="15.75" thickBot="1">
      <c r="D96" s="89" t="s">
        <v>184</v>
      </c>
      <c r="E96" s="90"/>
      <c r="F96" s="90"/>
      <c r="G96" s="90"/>
      <c r="H96" s="90"/>
      <c r="I96" s="90"/>
      <c r="J96" s="90"/>
    </row>
    <row r="98" spans="4:10" ht="15.75" thickBot="1">
      <c r="D98" s="12"/>
      <c r="E98" s="13"/>
      <c r="F98" s="14"/>
      <c r="G98" s="57"/>
      <c r="H98" s="57" t="s">
        <v>160</v>
      </c>
      <c r="I98" s="57"/>
      <c r="J98" s="79"/>
    </row>
    <row r="99" spans="4:10">
      <c r="D99" s="15"/>
      <c r="E99" s="16"/>
      <c r="F99" s="154">
        <v>-0.2</v>
      </c>
      <c r="G99" s="154">
        <v>-0.1</v>
      </c>
      <c r="H99" s="59" t="s">
        <v>110</v>
      </c>
      <c r="I99" s="154">
        <v>0.1</v>
      </c>
      <c r="J99" s="155">
        <v>0.2</v>
      </c>
    </row>
    <row r="100" spans="4:10" ht="15.75" thickBot="1">
      <c r="D100" s="60" t="s">
        <v>109</v>
      </c>
      <c r="E100" s="61"/>
      <c r="F100" s="92">
        <f>H100*(1+F99)</f>
        <v>4</v>
      </c>
      <c r="G100" s="92">
        <f>H100*(1+G99)</f>
        <v>4.5</v>
      </c>
      <c r="H100" s="92">
        <f>H8</f>
        <v>5</v>
      </c>
      <c r="I100" s="93">
        <f>$H$100*(1+I99)</f>
        <v>5.5</v>
      </c>
      <c r="J100" s="94">
        <f>$H$100*(1+J99)</f>
        <v>6</v>
      </c>
    </row>
    <row r="101" spans="4:10" ht="15">
      <c r="D101" s="152">
        <v>-0.2</v>
      </c>
      <c r="E101" s="62">
        <f>$E$103*(1+D101)</f>
        <v>44000</v>
      </c>
      <c r="F101" s="88">
        <f>$H$101-$E$101*($H$100-F100)</f>
        <v>14955.762597547364</v>
      </c>
      <c r="G101" s="88">
        <f>$H$101-$E$101*($H$100-G100)</f>
        <v>36955.762597547364</v>
      </c>
      <c r="H101" s="88">
        <f>$H$103-($E$103-E101)*$H$100</f>
        <v>58955.762597547364</v>
      </c>
      <c r="I101" s="84">
        <f>$H$101+$E$101*(I100-$H$100)</f>
        <v>80955.762597547364</v>
      </c>
      <c r="J101" s="85">
        <f>$H$101+$E$101*(J100-$H$100)</f>
        <v>102955.76259754736</v>
      </c>
    </row>
    <row r="102" spans="4:10" ht="15">
      <c r="D102" s="152">
        <v>-0.1</v>
      </c>
      <c r="E102" s="62">
        <f>$E$103*(1+D102)</f>
        <v>49500</v>
      </c>
      <c r="F102" s="88">
        <f>$H$102-$E$102*($H$100-F100)</f>
        <v>36955.762597547364</v>
      </c>
      <c r="G102" s="88">
        <f>$H$102-$E$102*($H$100-G100)</f>
        <v>61705.762597547364</v>
      </c>
      <c r="H102" s="88">
        <f>$H$103-($E$103-E102)*$H$100</f>
        <v>86455.762597547364</v>
      </c>
      <c r="I102" s="88">
        <f>$H$102+$E$102*(I100-$H$100)</f>
        <v>111205.76259754736</v>
      </c>
      <c r="J102" s="91">
        <f>$H$102+$E$102*(J100-$H$100)</f>
        <v>135955.76259754738</v>
      </c>
    </row>
    <row r="103" spans="4:10" ht="15">
      <c r="D103" s="18" t="s">
        <v>43</v>
      </c>
      <c r="E103" s="62">
        <f>F8</f>
        <v>55000</v>
      </c>
      <c r="F103" s="88">
        <f>$H$103-$E$103*($H$100-F100)</f>
        <v>58955.762597547364</v>
      </c>
      <c r="G103" s="88">
        <f>$H$103-$E$103*($H$100-G100)</f>
        <v>86455.762597547364</v>
      </c>
      <c r="H103" s="63">
        <f>J50</f>
        <v>113955.76259754736</v>
      </c>
      <c r="I103" s="84">
        <f>$H$103+$E$103*(I100-$H$100)</f>
        <v>141455.76259754738</v>
      </c>
      <c r="J103" s="85">
        <f>$H$103+$E$103*(J100-$H$100)</f>
        <v>168955.76259754738</v>
      </c>
    </row>
    <row r="104" spans="4:10" ht="15">
      <c r="D104" s="152">
        <v>0.1</v>
      </c>
      <c r="E104" s="78">
        <f>$E$103*(1+D104)</f>
        <v>60500.000000000007</v>
      </c>
      <c r="F104" s="84">
        <f>$H$104-$E$104*($H$100-F100)</f>
        <v>80955.762597547407</v>
      </c>
      <c r="G104" s="84">
        <f>$H$104-$E$104*($H$100-G100)</f>
        <v>111205.76259754741</v>
      </c>
      <c r="H104" s="88">
        <f>$H$103-($E$103-E104)*$H$100</f>
        <v>141455.76259754741</v>
      </c>
      <c r="I104" s="84">
        <f>$H$104+$E$104*(I100-$H$100)</f>
        <v>171705.76259754741</v>
      </c>
      <c r="J104" s="85">
        <f>$H$104+$E$104*(J100-$H$100)</f>
        <v>201955.76259754741</v>
      </c>
    </row>
    <row r="105" spans="4:10" ht="15">
      <c r="D105" s="153">
        <v>0.2</v>
      </c>
      <c r="E105" s="80">
        <f>$E$103*(1+D105)</f>
        <v>66000</v>
      </c>
      <c r="F105" s="86">
        <f>$H$105-$E$105*($H$100-F100)</f>
        <v>102955.76259754738</v>
      </c>
      <c r="G105" s="86">
        <f>$H$105-$E$105*($H$100-G100)</f>
        <v>135955.76259754738</v>
      </c>
      <c r="H105" s="95">
        <f>$H$103-($E$103-E105)*$H$100</f>
        <v>168955.76259754738</v>
      </c>
      <c r="I105" s="86">
        <f>$H$105+$E$105*(I100-$H$100)</f>
        <v>201955.76259754738</v>
      </c>
      <c r="J105" s="87">
        <f>$H$105+$E$105*(J100-$H$100)</f>
        <v>234955.76259754738</v>
      </c>
    </row>
    <row r="203" spans="81:107" ht="15.75">
      <c r="CC203" s="269" t="s">
        <v>375</v>
      </c>
      <c r="CD203" s="270"/>
      <c r="CE203" s="270"/>
      <c r="CF203" s="270"/>
      <c r="CG203" s="270"/>
      <c r="CH203" s="270"/>
      <c r="CI203" s="270"/>
      <c r="CJ203" s="270"/>
      <c r="CK203" s="270"/>
      <c r="CL203"/>
      <c r="CM203"/>
      <c r="CN203" s="271" t="s">
        <v>414</v>
      </c>
      <c r="CO203" s="272"/>
      <c r="CP203" s="272"/>
      <c r="CQ203" s="272"/>
      <c r="CR203" s="272"/>
      <c r="CS203" s="272"/>
      <c r="CT203" s="272"/>
      <c r="CU203" s="272"/>
      <c r="CV203" s="272"/>
      <c r="CZ203" s="298" t="s">
        <v>408</v>
      </c>
      <c r="DA203" s="300">
        <v>0.15</v>
      </c>
      <c r="DB203" s="300">
        <v>0.15</v>
      </c>
      <c r="DC203" s="300">
        <v>0.15</v>
      </c>
    </row>
    <row r="204" spans="81:107" ht="15.75">
      <c r="CC204" s="273" t="s">
        <v>376</v>
      </c>
      <c r="CD204" s="273" t="s">
        <v>377</v>
      </c>
      <c r="CE204" s="273" t="s">
        <v>378</v>
      </c>
      <c r="CF204" s="274" t="s">
        <v>379</v>
      </c>
      <c r="CG204" s="274"/>
      <c r="CH204" s="274"/>
      <c r="CI204" s="274" t="s">
        <v>380</v>
      </c>
      <c r="CJ204" s="274"/>
      <c r="CK204" s="275"/>
      <c r="CL204"/>
      <c r="CM204"/>
      <c r="CN204" s="273" t="s">
        <v>376</v>
      </c>
      <c r="CO204" s="273" t="s">
        <v>377</v>
      </c>
      <c r="CP204" s="273" t="s">
        <v>378</v>
      </c>
      <c r="CQ204" s="274" t="s">
        <v>379</v>
      </c>
      <c r="CR204" s="274"/>
      <c r="CS204" s="274"/>
      <c r="CT204" s="274" t="s">
        <v>380</v>
      </c>
      <c r="CU204" s="274"/>
      <c r="CV204" s="275"/>
      <c r="CZ204" s="298" t="s">
        <v>399</v>
      </c>
      <c r="DA204" s="300">
        <v>0.16</v>
      </c>
      <c r="DB204" s="300">
        <v>0.16</v>
      </c>
      <c r="DC204" s="300">
        <v>0.16</v>
      </c>
    </row>
    <row r="205" spans="81:107" ht="18">
      <c r="CC205"/>
      <c r="CD205"/>
      <c r="CE205"/>
      <c r="CF205" s="276" t="s">
        <v>381</v>
      </c>
      <c r="CG205" s="276" t="s">
        <v>382</v>
      </c>
      <c r="CH205" s="276" t="s">
        <v>383</v>
      </c>
      <c r="CI205" s="276" t="s">
        <v>381</v>
      </c>
      <c r="CJ205" s="276" t="s">
        <v>382</v>
      </c>
      <c r="CK205" s="276" t="s">
        <v>383</v>
      </c>
      <c r="CL205"/>
      <c r="CM205"/>
      <c r="CN205"/>
      <c r="CO205"/>
      <c r="CP205"/>
      <c r="CQ205" s="276" t="s">
        <v>381</v>
      </c>
      <c r="CR205" s="276" t="s">
        <v>382</v>
      </c>
      <c r="CS205" s="276" t="s">
        <v>383</v>
      </c>
      <c r="CT205" s="276" t="s">
        <v>381</v>
      </c>
      <c r="CU205" s="276" t="s">
        <v>382</v>
      </c>
      <c r="CV205" s="276" t="s">
        <v>383</v>
      </c>
      <c r="CZ205" s="298" t="s">
        <v>407</v>
      </c>
      <c r="DA205" s="300">
        <v>0.06</v>
      </c>
      <c r="DB205" s="300">
        <v>0.12</v>
      </c>
      <c r="DC205" s="300">
        <v>0.24</v>
      </c>
    </row>
    <row r="206" spans="81:107">
      <c r="CC206" t="str">
        <f>+D15</f>
        <v>NPK 15:15:15</v>
      </c>
      <c r="CD206" s="21">
        <f>+F15</f>
        <v>250</v>
      </c>
      <c r="CE206" t="s">
        <v>20</v>
      </c>
      <c r="CF206" s="304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G206" s="304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H206" s="304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I206">
        <f>$CD206*CF206</f>
        <v>37.5</v>
      </c>
      <c r="CJ206">
        <f t="shared" ref="CJ206:CK212" si="4">$CD206*CG206</f>
        <v>37.5</v>
      </c>
      <c r="CK206">
        <f t="shared" si="4"/>
        <v>37.5</v>
      </c>
      <c r="CL206"/>
      <c r="CM206"/>
      <c r="CN206" s="1" t="str">
        <f>D15</f>
        <v>NPK 15:15:15</v>
      </c>
      <c r="CO206" s="21">
        <f>+F15</f>
        <v>250</v>
      </c>
      <c r="CP206" t="s">
        <v>20</v>
      </c>
      <c r="CQ206" s="304">
        <f>IF($CC206=$CZ$203,$DA$203,IF($CC206=$CZ$204,$DA$204,IF($CC206=$CZ$205,$DA$205,IF($CC206=$CZ$206,$DA$206, IF($CC206=$CZ$207,$DA$207,IF($CC206=$CZ$208,$DA$208,IF($CC206=$CZ$209,$DA$209,IF($CC206=$CZ$210,$DA$210,"0%"))))))))</f>
        <v>0.15</v>
      </c>
      <c r="CR206" s="304">
        <f>IF($CC206=$CZ$203,$DB$203,IF($CC206=$CZ$204,$DB$204,IF($CC206=$CZ$205,$DB$205,IF($CC206=$CZ$206,$DB$206, IF($CC206=$CZ$207,$DB$207,IF($CC206=$CZ$208,$DB$208,IF($CC206=$CZ$209,$DB$209,IF($CC206=$CZ$210,$DB$210,"0%"))))))))</f>
        <v>0.15</v>
      </c>
      <c r="CS206" s="304">
        <f>IF($CC206=$CZ$203,$DC$203,IF($CC206=$CZ$204,$DC$204,IF($CC206=$CZ$205,$DC$205,IF($CC206=$CZ$206,$DC$206, IF($CC206=$CZ$207,$DC$207,IF($CC206=$CZ$208,$DC$208,IF($CC206=$CZ$209,$DC$209,IF($CC206=$CZ$210,$DC$210,"0%"))))))))</f>
        <v>0.15</v>
      </c>
      <c r="CT206">
        <f>CO206*CQ206</f>
        <v>37.5</v>
      </c>
      <c r="CU206">
        <f>CO206*CR206</f>
        <v>37.5</v>
      </c>
      <c r="CV206">
        <f>CO206*CS206</f>
        <v>37.5</v>
      </c>
      <c r="CZ206" s="299" t="s">
        <v>412</v>
      </c>
      <c r="DA206" s="301">
        <v>0.11</v>
      </c>
      <c r="DB206" s="301">
        <v>0.52</v>
      </c>
      <c r="DC206" s="301">
        <v>0</v>
      </c>
    </row>
    <row r="207" spans="81:107">
      <c r="CC207">
        <f t="shared" ref="CC207:CC212" si="5">+D16</f>
        <v>0</v>
      </c>
      <c r="CD207" s="21">
        <f t="shared" ref="CD207:CD212" si="6">+F16</f>
        <v>0</v>
      </c>
      <c r="CE207" t="s">
        <v>20</v>
      </c>
      <c r="CF207" s="304" t="str">
        <f t="shared" ref="CF207:CF210" si="7">IF($CC207=$CZ$203,$DA$203,IF($CC207=$CZ$204,$DA$204,IF($CC207=$CZ$205,$DA$205,IF($CC207=CZ$206,$DA$206, IF($CC207=CZ$207,$DA$207,IF($CC207=$CZ$208,$DA$208,IF($CC207=$CZ$209,$DA$209,IF($CC207=$CZ$210,$DA$210,"0%"))))))))</f>
        <v>0%</v>
      </c>
      <c r="CG207" s="304" t="str">
        <f t="shared" ref="CG207:CG210" si="8">IF($CC207=$CZ$203,$DB$203,IF($CC207=$CZ$204,$DB$204,IF($CC207=$CZ$205,$DB$205,IF($CC207=$CZ$206,$DB$206, IF($CC207=$CZ$207,$DB$207,IF($CC207=$CZ$208,$DB$208,IF($CC207=$CZ$209,$DB$209,IF($CC207=$CZ$210,$DB$210,"0%"))))))))</f>
        <v>0%</v>
      </c>
      <c r="CH207" s="304" t="str">
        <f t="shared" ref="CH207:CH210" si="9">IF($CC207=$CZ$203,$DC$203,IF($CC207=$CZ$204,$DC$204,IF($CC207=$CZ$205,$DC$205,IF($CC207=$CZ$206,$DC$206, IF($CC207=$CZ$207,$DC$207,IF($CC207=$CZ$208,$DC$208,IF($CC207=$CZ$209,$DC$209,IF($CC207=$CZ$210,$DC$210,"0%"))))))))</f>
        <v>0%</v>
      </c>
      <c r="CI207">
        <f>$CD207*CF207</f>
        <v>0</v>
      </c>
      <c r="CJ207">
        <f t="shared" si="4"/>
        <v>0</v>
      </c>
      <c r="CK207">
        <f t="shared" si="4"/>
        <v>0</v>
      </c>
      <c r="CL207"/>
      <c r="CM207"/>
      <c r="CN207" s="1">
        <f t="shared" ref="CN207:CN212" si="10">D16</f>
        <v>0</v>
      </c>
      <c r="CO207" s="21">
        <f t="shared" ref="CO207:CO212" si="11">+F16</f>
        <v>0</v>
      </c>
      <c r="CP207" t="s">
        <v>20</v>
      </c>
      <c r="CQ207" s="304" t="str">
        <f t="shared" ref="CQ207:CQ210" si="12">IF($CC207=$CZ$203,$DA$203,IF($CC207=$CZ$204,$DA$204,IF($CC207=$CZ$205,$DA$205,IF($CC207=$CZ$206,$DA$206, IF($CC207=$CZ$207,$DA$207,IF($CC207=$CZ$208,$DA$208,IF($CC207=$CZ$209,$DA$209,IF($CC207=$CZ$210,$DA$210,"0%"))))))))</f>
        <v>0%</v>
      </c>
      <c r="CR207" s="304" t="str">
        <f t="shared" ref="CR207:CR210" si="13">IF($CC207=$CZ$203,$DB$203,IF($CC207=$CZ$204,$DB$204,IF($CC207=$CZ$205,$DB$205,IF($CC207=$CZ$206,$DB$206, IF($CC207=$CZ$207,$DB$207,IF($CC207=$CZ$208,$DB$208,IF($CC207=$CZ$209,$DB$209,IF($CC207=$CZ$210,$DB$210,"0%"))))))))</f>
        <v>0%</v>
      </c>
      <c r="CS207" s="304" t="str">
        <f t="shared" ref="CS207:CS210" si="14">IF($CC207=$CZ$203,$DC$203,IF($CC207=$CZ$204,$DC$204,IF($CC207=$CZ$205,$DC$205,IF($CC207=$CZ$206,$DC$206, IF($CC207=$CZ$207,$DC$207,IF($CC207=$CZ$208,$DC$208,IF($CC207=$CZ$209,$DC$209,IF($CC207=$CZ$210,$DC$210,"0%"))))))))</f>
        <v>0%</v>
      </c>
      <c r="CT207">
        <f t="shared" ref="CT207:CT212" si="15">CO207*CQ207</f>
        <v>0</v>
      </c>
      <c r="CU207">
        <f t="shared" ref="CU207:CU212" si="16">CO207*CR207</f>
        <v>0</v>
      </c>
      <c r="CV207">
        <f t="shared" ref="CV207:CV212" si="17">CO207*CS207</f>
        <v>0</v>
      </c>
      <c r="CZ207" s="299" t="s">
        <v>413</v>
      </c>
      <c r="DA207" s="301">
        <v>0.12</v>
      </c>
      <c r="DB207" s="301">
        <v>0.52</v>
      </c>
      <c r="DC207" s="301">
        <v>0</v>
      </c>
    </row>
    <row r="208" spans="81:107">
      <c r="CC208">
        <f t="shared" si="5"/>
        <v>0</v>
      </c>
      <c r="CD208" s="21">
        <f t="shared" si="6"/>
        <v>0</v>
      </c>
      <c r="CE208" t="s">
        <v>20</v>
      </c>
      <c r="CF208" s="304" t="str">
        <f t="shared" si="7"/>
        <v>0%</v>
      </c>
      <c r="CG208" s="304" t="str">
        <f t="shared" si="8"/>
        <v>0%</v>
      </c>
      <c r="CH208" s="304" t="str">
        <f t="shared" si="9"/>
        <v>0%</v>
      </c>
      <c r="CI208">
        <f t="shared" ref="CI208:CI212" si="18">$CD208*CF208</f>
        <v>0</v>
      </c>
      <c r="CJ208">
        <f t="shared" si="4"/>
        <v>0</v>
      </c>
      <c r="CK208">
        <f t="shared" si="4"/>
        <v>0</v>
      </c>
      <c r="CL208"/>
      <c r="CM208"/>
      <c r="CN208" s="1">
        <f t="shared" si="10"/>
        <v>0</v>
      </c>
      <c r="CO208" s="21">
        <f t="shared" si="11"/>
        <v>0</v>
      </c>
      <c r="CP208" t="s">
        <v>20</v>
      </c>
      <c r="CQ208" s="304" t="str">
        <f t="shared" si="12"/>
        <v>0%</v>
      </c>
      <c r="CR208" s="304" t="str">
        <f t="shared" si="13"/>
        <v>0%</v>
      </c>
      <c r="CS208" s="304" t="str">
        <f t="shared" si="14"/>
        <v>0%</v>
      </c>
      <c r="CT208">
        <f t="shared" si="15"/>
        <v>0</v>
      </c>
      <c r="CU208">
        <f t="shared" si="16"/>
        <v>0</v>
      </c>
      <c r="CV208">
        <f t="shared" si="17"/>
        <v>0</v>
      </c>
      <c r="CZ208" s="298" t="s">
        <v>409</v>
      </c>
      <c r="DA208" s="301">
        <v>0.46</v>
      </c>
      <c r="DB208" s="301">
        <v>0</v>
      </c>
      <c r="DC208" s="301">
        <v>0</v>
      </c>
    </row>
    <row r="209" spans="81:107">
      <c r="CC209">
        <f t="shared" si="5"/>
        <v>0</v>
      </c>
      <c r="CD209" s="21">
        <f t="shared" si="6"/>
        <v>0</v>
      </c>
      <c r="CE209" t="s">
        <v>20</v>
      </c>
      <c r="CF209" s="304" t="str">
        <f t="shared" si="7"/>
        <v>0%</v>
      </c>
      <c r="CG209" s="304" t="str">
        <f t="shared" si="8"/>
        <v>0%</v>
      </c>
      <c r="CH209" s="304" t="str">
        <f t="shared" si="9"/>
        <v>0%</v>
      </c>
      <c r="CI209">
        <f t="shared" si="18"/>
        <v>0</v>
      </c>
      <c r="CJ209">
        <f t="shared" si="4"/>
        <v>0</v>
      </c>
      <c r="CK209">
        <f t="shared" si="4"/>
        <v>0</v>
      </c>
      <c r="CL209"/>
      <c r="CM209"/>
      <c r="CN209" s="1">
        <f t="shared" si="10"/>
        <v>0</v>
      </c>
      <c r="CO209" s="21">
        <f t="shared" si="11"/>
        <v>0</v>
      </c>
      <c r="CP209" t="s">
        <v>20</v>
      </c>
      <c r="CQ209" s="304" t="str">
        <f t="shared" si="12"/>
        <v>0%</v>
      </c>
      <c r="CR209" s="304" t="str">
        <f t="shared" si="13"/>
        <v>0%</v>
      </c>
      <c r="CS209" s="304" t="str">
        <f t="shared" si="14"/>
        <v>0%</v>
      </c>
      <c r="CT209">
        <f t="shared" si="15"/>
        <v>0</v>
      </c>
      <c r="CU209">
        <f t="shared" si="16"/>
        <v>0</v>
      </c>
      <c r="CV209">
        <f t="shared" si="17"/>
        <v>0</v>
      </c>
      <c r="CZ209" s="298" t="s">
        <v>410</v>
      </c>
      <c r="DA209" s="301">
        <v>0.27</v>
      </c>
      <c r="DB209" s="301">
        <v>0</v>
      </c>
      <c r="DC209" s="301">
        <v>0</v>
      </c>
    </row>
    <row r="210" spans="81:107">
      <c r="CC210">
        <f t="shared" si="5"/>
        <v>0</v>
      </c>
      <c r="CD210" s="21">
        <f t="shared" si="6"/>
        <v>0</v>
      </c>
      <c r="CE210" t="s">
        <v>20</v>
      </c>
      <c r="CF210" s="304" t="str">
        <f t="shared" si="7"/>
        <v>0%</v>
      </c>
      <c r="CG210" s="304" t="str">
        <f t="shared" si="8"/>
        <v>0%</v>
      </c>
      <c r="CH210" s="304" t="str">
        <f t="shared" si="9"/>
        <v>0%</v>
      </c>
      <c r="CI210">
        <f t="shared" si="18"/>
        <v>0</v>
      </c>
      <c r="CJ210">
        <f t="shared" si="4"/>
        <v>0</v>
      </c>
      <c r="CK210">
        <f t="shared" si="4"/>
        <v>0</v>
      </c>
      <c r="CL210"/>
      <c r="CM210"/>
      <c r="CN210" s="1">
        <f t="shared" si="10"/>
        <v>0</v>
      </c>
      <c r="CO210" s="21">
        <f t="shared" si="11"/>
        <v>0</v>
      </c>
      <c r="CP210" t="s">
        <v>20</v>
      </c>
      <c r="CQ210" s="304" t="str">
        <f t="shared" si="12"/>
        <v>0%</v>
      </c>
      <c r="CR210" s="304" t="str">
        <f t="shared" si="13"/>
        <v>0%</v>
      </c>
      <c r="CS210" s="304" t="str">
        <f t="shared" si="14"/>
        <v>0%</v>
      </c>
      <c r="CT210">
        <f t="shared" si="15"/>
        <v>0</v>
      </c>
      <c r="CU210">
        <f t="shared" si="16"/>
        <v>0</v>
      </c>
      <c r="CV210">
        <f t="shared" si="17"/>
        <v>0</v>
      </c>
      <c r="CZ210" s="299" t="s">
        <v>411</v>
      </c>
      <c r="DA210" s="302">
        <v>0.33500000000000002</v>
      </c>
      <c r="DB210" s="301">
        <v>0</v>
      </c>
      <c r="DC210" s="301">
        <v>0</v>
      </c>
    </row>
    <row r="211" spans="81:107">
      <c r="CC211" t="str">
        <f t="shared" si="5"/>
        <v>NPK 20:5:20</v>
      </c>
      <c r="CD211" s="21">
        <f t="shared" si="6"/>
        <v>400</v>
      </c>
      <c r="CE211" t="s">
        <v>20</v>
      </c>
      <c r="CF211" s="304">
        <f t="shared" ref="CF211:CH212" si="19">+P20</f>
        <v>0.2</v>
      </c>
      <c r="CG211" s="304">
        <f t="shared" si="19"/>
        <v>0.05</v>
      </c>
      <c r="CH211" s="304">
        <f t="shared" si="19"/>
        <v>0.2</v>
      </c>
      <c r="CI211">
        <f t="shared" si="18"/>
        <v>80</v>
      </c>
      <c r="CJ211">
        <f t="shared" si="4"/>
        <v>20</v>
      </c>
      <c r="CK211">
        <f t="shared" si="4"/>
        <v>80</v>
      </c>
      <c r="CL211"/>
      <c r="CM211"/>
      <c r="CN211" s="1" t="str">
        <f t="shared" si="10"/>
        <v>NPK 20:5:20</v>
      </c>
      <c r="CO211" s="21">
        <f t="shared" si="11"/>
        <v>400</v>
      </c>
      <c r="CP211" t="s">
        <v>20</v>
      </c>
      <c r="CQ211" s="278">
        <f t="shared" ref="CQ211:CS212" si="20">+P20</f>
        <v>0.2</v>
      </c>
      <c r="CR211" s="278">
        <f t="shared" si="20"/>
        <v>0.05</v>
      </c>
      <c r="CS211" s="278">
        <f t="shared" si="20"/>
        <v>0.2</v>
      </c>
      <c r="CT211">
        <f t="shared" si="15"/>
        <v>80</v>
      </c>
      <c r="CU211">
        <f t="shared" si="16"/>
        <v>20</v>
      </c>
      <c r="CV211">
        <f t="shared" si="17"/>
        <v>80</v>
      </c>
    </row>
    <row r="212" spans="81:107">
      <c r="CC212">
        <f t="shared" si="5"/>
        <v>0</v>
      </c>
      <c r="CD212" s="21">
        <f t="shared" si="6"/>
        <v>0</v>
      </c>
      <c r="CE212" t="s">
        <v>20</v>
      </c>
      <c r="CF212" s="304">
        <f t="shared" si="19"/>
        <v>0</v>
      </c>
      <c r="CG212" s="304">
        <f t="shared" si="19"/>
        <v>0</v>
      </c>
      <c r="CH212" s="304">
        <f t="shared" si="19"/>
        <v>0</v>
      </c>
      <c r="CI212">
        <f t="shared" si="18"/>
        <v>0</v>
      </c>
      <c r="CJ212">
        <f t="shared" si="4"/>
        <v>0</v>
      </c>
      <c r="CK212">
        <f t="shared" si="4"/>
        <v>0</v>
      </c>
      <c r="CL212"/>
      <c r="CM212"/>
      <c r="CN212" s="1">
        <f t="shared" si="10"/>
        <v>0</v>
      </c>
      <c r="CO212" s="21">
        <f t="shared" si="11"/>
        <v>0</v>
      </c>
      <c r="CP212" t="s">
        <v>20</v>
      </c>
      <c r="CQ212" s="278">
        <f t="shared" si="20"/>
        <v>0</v>
      </c>
      <c r="CR212" s="278">
        <f t="shared" si="20"/>
        <v>0</v>
      </c>
      <c r="CS212" s="278">
        <f t="shared" si="20"/>
        <v>0</v>
      </c>
      <c r="CT212">
        <f t="shared" si="15"/>
        <v>0</v>
      </c>
      <c r="CU212">
        <f t="shared" si="16"/>
        <v>0</v>
      </c>
      <c r="CV212">
        <f t="shared" si="17"/>
        <v>0</v>
      </c>
    </row>
    <row r="213" spans="81:107">
      <c r="CC213" t="s">
        <v>384</v>
      </c>
      <c r="CD213" s="21">
        <f>+F14/1000</f>
        <v>0</v>
      </c>
      <c r="CE213" t="s">
        <v>2</v>
      </c>
      <c r="CF213" s="310">
        <v>6.4999999999999997E-3</v>
      </c>
      <c r="CG213" s="279">
        <v>3.0000000000000001E-3</v>
      </c>
      <c r="CH213" s="279">
        <v>6.0000000000000001E-3</v>
      </c>
      <c r="CI213">
        <f>CD213*CF213*1000*IF(CD214=1,50%,IF(CD214=2,30%,IF(CD214=3,20%,IF(CD214&gt;3,0))))</f>
        <v>0</v>
      </c>
      <c r="CJ213">
        <f>CD213*CG213*1000*IF(CD214=1,50%,IF(CD214=2,30%,IF(CD214=3,20%,IF(CD214&gt;3,0))))</f>
        <v>0</v>
      </c>
      <c r="CK213">
        <f>CD213*CH213*1000*IF(CD214=1,50%,IF(CD214=2,30%,IF(CD214=3,20%,IF(CD214&gt;3,0))))</f>
        <v>0</v>
      </c>
      <c r="CL213"/>
      <c r="CM213"/>
      <c r="CN213" t="s">
        <v>384</v>
      </c>
      <c r="CO213" s="21">
        <f>+F14/1000</f>
        <v>0</v>
      </c>
      <c r="CP213" t="s">
        <v>2</v>
      </c>
      <c r="CQ213" s="310">
        <v>6.4999999999999997E-3</v>
      </c>
      <c r="CR213" s="279">
        <v>3.0000000000000001E-3</v>
      </c>
      <c r="CS213" s="279">
        <v>6.0000000000000001E-3</v>
      </c>
      <c r="CT213">
        <f>CO213*CQ213*1000*IF(CO214=1,50%,IF(CO214=2,30%,IF(CO214=3,20%,IF(CO214&gt;3,0))))</f>
        <v>0</v>
      </c>
      <c r="CU213">
        <f>CO213*CR213*1000*IF(CO214=1,50%,IF(CO214=2,30%,IF(CO214=3,20%,IF(CO214&gt;3,0))))</f>
        <v>0</v>
      </c>
      <c r="CV213">
        <f>CO213*CS213*1000*IF(CO214=1,50%,IF(CO214=2,30%,IF(CO214=3,20%,IF(CO214&gt;3,0))))</f>
        <v>0</v>
      </c>
    </row>
    <row r="214" spans="81:107">
      <c r="CC214" t="s">
        <v>385</v>
      </c>
      <c r="CD214" s="306">
        <f>+E14</f>
        <v>1</v>
      </c>
      <c r="CE214" s="280" t="s">
        <v>386</v>
      </c>
      <c r="CF214"/>
      <c r="CG214"/>
      <c r="CH214"/>
      <c r="CI214"/>
      <c r="CJ214"/>
      <c r="CK214"/>
      <c r="CL214"/>
      <c r="CM214"/>
      <c r="CN214" t="s">
        <v>385</v>
      </c>
      <c r="CO214" s="306">
        <f>+E14</f>
        <v>1</v>
      </c>
      <c r="CP214" s="280" t="s">
        <v>386</v>
      </c>
      <c r="CQ214"/>
      <c r="CR214"/>
      <c r="CS214"/>
      <c r="CT214"/>
      <c r="CU214"/>
      <c r="CV214"/>
    </row>
    <row r="215" spans="81:107">
      <c r="CC215" t="s">
        <v>76</v>
      </c>
      <c r="CD215"/>
      <c r="CE215"/>
      <c r="CF215"/>
      <c r="CG215"/>
      <c r="CH215"/>
      <c r="CI215">
        <f>SUM(CI206:CI214)</f>
        <v>117.5</v>
      </c>
      <c r="CJ215">
        <f>SUM(CJ206:CJ214)</f>
        <v>57.5</v>
      </c>
      <c r="CK215">
        <f>SUM(CK206:CK214)</f>
        <v>117.5</v>
      </c>
      <c r="CL215"/>
      <c r="CM215"/>
      <c r="CN215" t="s">
        <v>76</v>
      </c>
      <c r="CO215"/>
      <c r="CP215"/>
      <c r="CQ215"/>
      <c r="CR215"/>
      <c r="CS215"/>
      <c r="CT215">
        <f>SUM(CT206:CT214)</f>
        <v>117.5</v>
      </c>
      <c r="CU215">
        <f>SUM(CU206:CU214)</f>
        <v>57.5</v>
      </c>
      <c r="CV215">
        <f>SUM(CV206:CV214)</f>
        <v>117.5</v>
      </c>
    </row>
    <row r="216" spans="81:107">
      <c r="CC216" s="311" t="s">
        <v>439</v>
      </c>
      <c r="CD216" s="281">
        <f>+F8/1000</f>
        <v>55</v>
      </c>
      <c r="CE216" t="s">
        <v>2</v>
      </c>
      <c r="CF216"/>
      <c r="CG216"/>
      <c r="CH216"/>
      <c r="CI216"/>
      <c r="CJ216"/>
      <c r="CK216"/>
      <c r="CL216"/>
      <c r="CM216"/>
      <c r="CN216" s="311" t="s">
        <v>439</v>
      </c>
      <c r="CO216" s="282">
        <f>+CD216</f>
        <v>55</v>
      </c>
      <c r="CP216" t="s">
        <v>2</v>
      </c>
      <c r="CQ216"/>
      <c r="CR216"/>
      <c r="CS216"/>
      <c r="CT216"/>
      <c r="CU216"/>
      <c r="CV216"/>
    </row>
    <row r="217" spans="81:107">
      <c r="CC217" s="311" t="s">
        <v>423</v>
      </c>
      <c r="CD217"/>
      <c r="CE217" t="s">
        <v>390</v>
      </c>
      <c r="CF217"/>
      <c r="CG217"/>
      <c r="CH217"/>
      <c r="CI217" s="283">
        <v>2.2000000000000002</v>
      </c>
      <c r="CJ217" s="283">
        <v>1</v>
      </c>
      <c r="CK217" s="283">
        <v>2</v>
      </c>
      <c r="CL217"/>
      <c r="CM217"/>
      <c r="CN217" s="311" t="s">
        <v>423</v>
      </c>
      <c r="CO217"/>
      <c r="CP217" t="s">
        <v>390</v>
      </c>
      <c r="CQ217"/>
      <c r="CR217"/>
      <c r="CS217"/>
      <c r="CT217" s="283">
        <v>4</v>
      </c>
      <c r="CU217" s="283">
        <v>2</v>
      </c>
      <c r="CV217" s="283">
        <v>6</v>
      </c>
    </row>
    <row r="218" spans="81:107" ht="15" thickBot="1">
      <c r="CC218" s="311" t="s">
        <v>423</v>
      </c>
      <c r="CD218"/>
      <c r="CE218" t="s">
        <v>20</v>
      </c>
      <c r="CF218"/>
      <c r="CG218"/>
      <c r="CH218"/>
      <c r="CI218">
        <f>CD216*CI217</f>
        <v>121.00000000000001</v>
      </c>
      <c r="CJ218">
        <f>CD216*CJ217</f>
        <v>55</v>
      </c>
      <c r="CK218">
        <f>CD216*CK217</f>
        <v>110</v>
      </c>
      <c r="CL218"/>
      <c r="CM218"/>
      <c r="CN218" s="311" t="s">
        <v>423</v>
      </c>
      <c r="CO218"/>
      <c r="CP218" t="s">
        <v>20</v>
      </c>
      <c r="CQ218"/>
      <c r="CR218"/>
      <c r="CS218"/>
      <c r="CT218">
        <f>CO216*CT217</f>
        <v>220</v>
      </c>
      <c r="CU218">
        <f>CO216*CU217</f>
        <v>110</v>
      </c>
      <c r="CV218">
        <f>CO216*CV217</f>
        <v>330</v>
      </c>
    </row>
    <row r="219" spans="81:107" ht="16.5" thickTop="1" thickBot="1">
      <c r="CC219" s="284" t="s">
        <v>391</v>
      </c>
      <c r="CD219" s="285"/>
      <c r="CE219" s="285" t="s">
        <v>20</v>
      </c>
      <c r="CF219" s="285"/>
      <c r="CG219" s="285"/>
      <c r="CH219" s="285"/>
      <c r="CI219" s="286">
        <f>SUM(CI215:CI215)-CI218</f>
        <v>-3.5000000000000142</v>
      </c>
      <c r="CJ219" s="287">
        <f>CJ215-CJ218</f>
        <v>2.5</v>
      </c>
      <c r="CK219" s="288">
        <f>CK215-CK218</f>
        <v>7.5</v>
      </c>
      <c r="CL219"/>
      <c r="CM219"/>
      <c r="CN219" s="284" t="s">
        <v>391</v>
      </c>
      <c r="CO219" s="285"/>
      <c r="CP219" s="285" t="s">
        <v>20</v>
      </c>
      <c r="CQ219" s="285"/>
      <c r="CR219" s="285"/>
      <c r="CS219" s="285"/>
      <c r="CT219" s="285">
        <f>SUM(CT215:CT215)-CT218</f>
        <v>-102.5</v>
      </c>
      <c r="CU219" s="288">
        <f>CU215-CU218</f>
        <v>-52.5</v>
      </c>
      <c r="CV219" s="288">
        <f>CV215-CV218</f>
        <v>-212.5</v>
      </c>
    </row>
    <row r="220" spans="81:107" ht="15" thickTop="1"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</row>
    <row r="221" spans="81:107">
      <c r="CC221" t="s">
        <v>5</v>
      </c>
      <c r="CD221"/>
      <c r="CE221"/>
      <c r="CF221"/>
      <c r="CG221"/>
      <c r="CH221"/>
      <c r="CI221" s="303">
        <f>+Inputi!D8</f>
        <v>73.91304347826086</v>
      </c>
      <c r="CJ221" s="303">
        <f>+Inputi!E8</f>
        <v>90.168896321070235</v>
      </c>
      <c r="CK221" s="303">
        <f>+Inputi!F8</f>
        <v>42.600936454849503</v>
      </c>
      <c r="CL221"/>
      <c r="CM221"/>
      <c r="CN221" t="s">
        <v>5</v>
      </c>
      <c r="CO221"/>
      <c r="CP221"/>
      <c r="CQ221"/>
      <c r="CR221"/>
      <c r="CS221"/>
      <c r="CT221" s="303">
        <f>+Inputi!D8</f>
        <v>73.91304347826086</v>
      </c>
      <c r="CU221" s="303">
        <f>+Inputi!E8</f>
        <v>90.168896321070235</v>
      </c>
      <c r="CV221" s="303">
        <f>+Inputi!F8</f>
        <v>42.600936454849503</v>
      </c>
    </row>
    <row r="222" spans="81:107" ht="15">
      <c r="CC222" s="276" t="s">
        <v>392</v>
      </c>
      <c r="CD222" s="289">
        <f>SUMPRODUCT(CI221:CK221,CI215:CK215)</f>
        <v>18875.104180602004</v>
      </c>
      <c r="CE222"/>
      <c r="CF222"/>
      <c r="CG222"/>
      <c r="CH222"/>
      <c r="CI222"/>
      <c r="CJ222"/>
      <c r="CK222"/>
      <c r="CL222"/>
      <c r="CM222"/>
      <c r="CN222" s="276" t="s">
        <v>392</v>
      </c>
      <c r="CO222" s="289">
        <f>SUMPRODUCT(CT221:CV221,CT215:CV215)</f>
        <v>18875.104180602004</v>
      </c>
      <c r="CP222"/>
      <c r="CQ222"/>
      <c r="CR222"/>
      <c r="CS222"/>
      <c r="CT222"/>
      <c r="CU222"/>
      <c r="CV222"/>
    </row>
    <row r="223" spans="81:107" ht="15.75">
      <c r="CC223" s="290" t="s">
        <v>393</v>
      </c>
      <c r="CD223" s="291">
        <f>CI218*CI221+CJ218*CJ221+CK218*CK221</f>
        <v>18588.870568561873</v>
      </c>
      <c r="CE223"/>
      <c r="CF223"/>
      <c r="CG223"/>
      <c r="CH223"/>
      <c r="CI223"/>
      <c r="CJ223"/>
      <c r="CK223"/>
      <c r="CL223"/>
      <c r="CM223"/>
      <c r="CN223" s="290" t="s">
        <v>393</v>
      </c>
      <c r="CO223" s="291">
        <f>CT218*CT221+CU218*CU221+CV218*CV221</f>
        <v>40237.757190635457</v>
      </c>
      <c r="CP223"/>
      <c r="CQ223"/>
      <c r="CR223"/>
      <c r="CS223"/>
      <c r="CT223"/>
      <c r="CU223"/>
      <c r="CV223"/>
    </row>
    <row r="224" spans="81:107" ht="30">
      <c r="CC224" s="309" t="s">
        <v>394</v>
      </c>
      <c r="CD224" s="292">
        <f>CJ219*CJ221+CK219*CK221</f>
        <v>544.92926421404684</v>
      </c>
      <c r="CE224"/>
      <c r="CF224"/>
      <c r="CG224"/>
      <c r="CH224"/>
      <c r="CI224"/>
      <c r="CJ224"/>
      <c r="CK224"/>
      <c r="CL224"/>
      <c r="CM224"/>
      <c r="CN224" s="309" t="s">
        <v>394</v>
      </c>
      <c r="CO224" s="292">
        <f>CU219*CU221+CV219*CV221</f>
        <v>-13786.566053511706</v>
      </c>
      <c r="CP224"/>
      <c r="CQ224"/>
      <c r="CR224"/>
      <c r="CS224"/>
      <c r="CT224"/>
      <c r="CU224"/>
      <c r="CV224"/>
    </row>
  </sheetData>
  <sheetProtection password="B310" sheet="1" objects="1" scenarios="1"/>
  <protectedRanges>
    <protectedRange sqref="P20:R21" name="Range9"/>
    <protectedRange sqref="D104:D105" name="Range8"/>
    <protectedRange sqref="D101:D102" name="Range7"/>
    <protectedRange sqref="I99:J99" name="Range6"/>
    <protectedRange sqref="F4" name="Range1"/>
    <protectedRange sqref="E8:I9" name="Range2"/>
    <protectedRange sqref="D12:I47" name="Range3"/>
    <protectedRange sqref="L4:L49" name="Range4"/>
    <protectedRange sqref="F99:G99" name="Range5"/>
  </protectedRanges>
  <conditionalFormatting sqref="P5">
    <cfRule type="cellIs" dxfId="17" priority="6" operator="lessThan">
      <formula>0</formula>
    </cfRule>
  </conditionalFormatting>
  <conditionalFormatting sqref="Q5">
    <cfRule type="cellIs" dxfId="16" priority="5" operator="lessThan">
      <formula>0</formula>
    </cfRule>
  </conditionalFormatting>
  <conditionalFormatting sqref="R5">
    <cfRule type="cellIs" dxfId="15" priority="4" operator="lessThan">
      <formula>0</formula>
    </cfRule>
  </conditionalFormatting>
  <conditionalFormatting sqref="P7">
    <cfRule type="cellIs" dxfId="14" priority="3" operator="lessThan">
      <formula>0</formula>
    </cfRule>
  </conditionalFormatting>
  <conditionalFormatting sqref="Q7">
    <cfRule type="cellIs" dxfId="13" priority="2" operator="lessThan">
      <formula>0</formula>
    </cfRule>
  </conditionalFormatting>
  <conditionalFormatting sqref="R7">
    <cfRule type="cellIs" dxfId="12" priority="1" operator="lessThan">
      <formula>0</formula>
    </cfRule>
  </conditionalFormatting>
  <dataValidations count="1">
    <dataValidation type="list" allowBlank="1" showInputMessage="1" showErrorMessage="1" sqref="D15:D19">
      <formula1>$CZ$203:$CZ$210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portrait" verticalDpi="0" r:id="rId1"/>
  <rowBreaks count="1" manualBreakCount="1">
    <brk id="51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Uvod</vt:lpstr>
      <vt:lpstr>Rezime</vt:lpstr>
      <vt:lpstr>Inputi</vt:lpstr>
      <vt:lpstr>1.Kukuruz</vt:lpstr>
      <vt:lpstr>2.Pšenica</vt:lpstr>
      <vt:lpstr>3.Soja</vt:lpstr>
      <vt:lpstr>4.Suncokret</vt:lpstr>
      <vt:lpstr>5.Uljana repica</vt:lpstr>
      <vt:lpstr>6.Š.Repa</vt:lpstr>
      <vt:lpstr>7.Ječam</vt:lpstr>
      <vt:lpstr>8.Krompir</vt:lpstr>
      <vt:lpstr>9.Lucerka</vt:lpstr>
      <vt:lpstr>10.Tov svinja</vt:lpstr>
      <vt:lpstr>11.Mleko</vt:lpstr>
      <vt:lpstr>12.Tov pilića</vt:lpstr>
      <vt:lpstr>Uvod!_ftn1</vt:lpstr>
      <vt:lpstr>Uvod!_ftnref1</vt:lpstr>
      <vt:lpstr>'1.Kukuruz'!Print_Area</vt:lpstr>
      <vt:lpstr>'10.Tov svinja'!Print_Area</vt:lpstr>
      <vt:lpstr>'11.Mleko'!Print_Area</vt:lpstr>
      <vt:lpstr>'12.Tov pilića'!Print_Area</vt:lpstr>
      <vt:lpstr>'2.Pšenica'!Print_Area</vt:lpstr>
      <vt:lpstr>'3.Soja'!Print_Area</vt:lpstr>
      <vt:lpstr>'4.Suncokret'!Print_Area</vt:lpstr>
      <vt:lpstr>'5.Uljana repica'!Print_Area</vt:lpstr>
      <vt:lpstr>'6.Š.Repa'!Print_Area</vt:lpstr>
      <vt:lpstr>'7.Ječam'!Print_Area</vt:lpstr>
      <vt:lpstr>'8.Krompir'!Print_Area</vt:lpstr>
      <vt:lpstr>'9.Lucerka'!Print_Area</vt:lpstr>
      <vt:lpstr>Uvod!Print_Area</vt:lpstr>
    </vt:vector>
  </TitlesOfParts>
  <Company>Univerzitet u Novom Sadu, Ekonomski fakultet u Subotici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Obrasci kalkulacija Bruto marže</dc:title>
  <dc:creator>Rade Popovic</dc:creator>
  <cp:lastModifiedBy>Korisnik</cp:lastModifiedBy>
  <cp:lastPrinted>2017-10-15T15:53:53Z</cp:lastPrinted>
  <dcterms:created xsi:type="dcterms:W3CDTF">2011-07-08T13:10:46Z</dcterms:created>
  <dcterms:modified xsi:type="dcterms:W3CDTF">2017-10-27T19:36:50Z</dcterms:modified>
</cp:coreProperties>
</file>