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gif" ContentType="image/gif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15" windowHeight="6720" tabRatio="862"/>
  </bookViews>
  <sheets>
    <sheet name="Uvod" sheetId="2" r:id="rId1"/>
    <sheet name="Rezime" sheetId="4" r:id="rId2"/>
    <sheet name="Resursi" sheetId="7" r:id="rId3"/>
    <sheet name="1.Kukuruz" sheetId="3" r:id="rId4"/>
    <sheet name="2.Pšenica" sheetId="8" r:id="rId5"/>
    <sheet name="3.Ječam" sheetId="18" r:id="rId6"/>
    <sheet name="4.Soja" sheetId="9" r:id="rId7"/>
    <sheet name="5.Suncokret" sheetId="10" r:id="rId8"/>
    <sheet name="6.Ulj.repica" sheetId="12" r:id="rId9"/>
    <sheet name="7.Š.Repa" sheetId="11" r:id="rId10"/>
    <sheet name="PLAN" sheetId="20" r:id="rId11"/>
  </sheets>
  <definedNames>
    <definedName name="_ftn1" localSheetId="0">Uvod!$C$147</definedName>
    <definedName name="_ftnref1" localSheetId="0">Uvod!$C$138</definedName>
    <definedName name="_xlnm.Print_Area" localSheetId="3">'1.Kukuruz'!$A$1:$J$100</definedName>
    <definedName name="_xlnm.Print_Area" localSheetId="4">'2.Pšenica'!$A$1:$J$100</definedName>
    <definedName name="_xlnm.Print_Area" localSheetId="5">'3.Ječam'!$A$1:$J$100</definedName>
    <definedName name="_xlnm.Print_Area" localSheetId="6">'4.Soja'!$A$1:$J$100</definedName>
    <definedName name="_xlnm.Print_Area" localSheetId="7">'5.Suncokret'!$A$1:$J$100</definedName>
    <definedName name="_xlnm.Print_Area" localSheetId="8">'6.Ulj.repica'!$A$1:$J$100</definedName>
    <definedName name="_xlnm.Print_Area" localSheetId="9">'7.Š.Repa'!$A$1:$J$102</definedName>
    <definedName name="_xlnm.Print_Area" localSheetId="10">PLAN!$A$1:$N$32</definedName>
    <definedName name="_xlnm.Print_Area" localSheetId="2">Resursi!$A$1:$H$15</definedName>
    <definedName name="_xlnm.Print_Area" localSheetId="1">Rezime!$A$1:$Q$18</definedName>
    <definedName name="_xlnm.Print_Area" localSheetId="0">Uvod!$A$1:$J$129</definedName>
    <definedName name="solver_adj" localSheetId="10" hidden="1">PLAN!$D$27:$K$27</definedName>
    <definedName name="solver_cvg" localSheetId="10" hidden="1">0.0001</definedName>
    <definedName name="solver_drv" localSheetId="10" hidden="1">1</definedName>
    <definedName name="solver_est" localSheetId="10" hidden="1">1</definedName>
    <definedName name="solver_itr" localSheetId="10" hidden="1">100</definedName>
    <definedName name="solver_lhs1" localSheetId="10" hidden="1">PLAN!$D$27:$K$27</definedName>
    <definedName name="solver_lhs2" localSheetId="10" hidden="1">PLAN!$N$6:$N$26</definedName>
    <definedName name="solver_lin" localSheetId="10" hidden="1">1</definedName>
    <definedName name="solver_neg" localSheetId="10" hidden="1">1</definedName>
    <definedName name="solver_num" localSheetId="10" hidden="1">2</definedName>
    <definedName name="solver_nwt" localSheetId="10" hidden="1">1</definedName>
    <definedName name="solver_opt" localSheetId="10" hidden="1">PLAN!$N$5</definedName>
    <definedName name="solver_pre" localSheetId="10" hidden="1">0.000001</definedName>
    <definedName name="solver_rel1" localSheetId="10" hidden="1">3</definedName>
    <definedName name="solver_rel2" localSheetId="10" hidden="1">1</definedName>
    <definedName name="solver_rhs1" localSheetId="10" hidden="1">0</definedName>
    <definedName name="solver_rhs2" localSheetId="10" hidden="1">PLAN!$M$6:$M$26</definedName>
    <definedName name="solver_scl" localSheetId="10" hidden="1">2</definedName>
    <definedName name="solver_sho" localSheetId="10" hidden="1">2</definedName>
    <definedName name="solver_tim" localSheetId="10" hidden="1">100</definedName>
    <definedName name="solver_tol" localSheetId="10" hidden="1">0.05</definedName>
    <definedName name="solver_typ" localSheetId="10" hidden="1">1</definedName>
    <definedName name="solver_val" localSheetId="10" hidden="1">0</definedName>
  </definedNames>
  <calcPr calcId="124519"/>
</workbook>
</file>

<file path=xl/calcChain.xml><?xml version="1.0" encoding="utf-8"?>
<calcChain xmlns="http://schemas.openxmlformats.org/spreadsheetml/2006/main">
  <c r="N18" i="20"/>
  <c r="H34" i="11" l="1"/>
  <c r="H31" i="12"/>
  <c r="J31" s="1"/>
  <c r="F60" s="1"/>
  <c r="H31" i="10"/>
  <c r="H31" i="9"/>
  <c r="H31" i="18"/>
  <c r="H31" i="8"/>
  <c r="H31" i="3"/>
  <c r="J31" s="1"/>
  <c r="F61" s="1"/>
  <c r="U6" i="20"/>
  <c r="CI221" i="3"/>
  <c r="CT221" s="1"/>
  <c r="D25" i="7"/>
  <c r="E25" s="1"/>
  <c r="CJ221" i="10" s="1"/>
  <c r="CU221" s="1"/>
  <c r="CD216" i="12"/>
  <c r="CI218" s="1"/>
  <c r="CO214"/>
  <c r="CD214"/>
  <c r="CO213"/>
  <c r="CU213" s="1"/>
  <c r="CD213"/>
  <c r="CJ213" s="1"/>
  <c r="CU212"/>
  <c r="CS212"/>
  <c r="CR212"/>
  <c r="CQ212"/>
  <c r="CO212"/>
  <c r="CV212" s="1"/>
  <c r="CN212"/>
  <c r="CJ212"/>
  <c r="CH212"/>
  <c r="CG212"/>
  <c r="CF212"/>
  <c r="CD212"/>
  <c r="CK212" s="1"/>
  <c r="CC212"/>
  <c r="CU211"/>
  <c r="CS211"/>
  <c r="CR211"/>
  <c r="CQ211"/>
  <c r="CO211"/>
  <c r="CV211" s="1"/>
  <c r="CN211"/>
  <c r="CJ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1"/>
  <c r="E100"/>
  <c r="E102" s="1"/>
  <c r="E99"/>
  <c r="E98"/>
  <c r="I97"/>
  <c r="H97"/>
  <c r="J97" s="1"/>
  <c r="G97"/>
  <c r="F63"/>
  <c r="J44"/>
  <c r="F65" s="1"/>
  <c r="J43"/>
  <c r="J42"/>
  <c r="F64" s="1"/>
  <c r="J40"/>
  <c r="J39"/>
  <c r="J38"/>
  <c r="J37"/>
  <c r="J36"/>
  <c r="J35"/>
  <c r="J34"/>
  <c r="F62" s="1"/>
  <c r="J30"/>
  <c r="F59" s="1"/>
  <c r="J28"/>
  <c r="J27"/>
  <c r="J26"/>
  <c r="J25"/>
  <c r="J24"/>
  <c r="J23"/>
  <c r="F58" s="1"/>
  <c r="J21"/>
  <c r="J20"/>
  <c r="J19"/>
  <c r="J18"/>
  <c r="J17"/>
  <c r="J16"/>
  <c r="J15"/>
  <c r="J14"/>
  <c r="J12"/>
  <c r="J9"/>
  <c r="F53" s="1"/>
  <c r="J8"/>
  <c r="F52" s="1"/>
  <c r="CD216" i="11"/>
  <c r="CI218" s="1"/>
  <c r="CO214"/>
  <c r="CD214"/>
  <c r="CO213"/>
  <c r="CU213" s="1"/>
  <c r="CD213"/>
  <c r="CJ213" s="1"/>
  <c r="CU212"/>
  <c r="CS212"/>
  <c r="CR212"/>
  <c r="CQ212"/>
  <c r="CO212"/>
  <c r="CV212" s="1"/>
  <c r="CN212"/>
  <c r="CJ212"/>
  <c r="CH212"/>
  <c r="CG212"/>
  <c r="CF212"/>
  <c r="CD212"/>
  <c r="CK212" s="1"/>
  <c r="CC212"/>
  <c r="CU211"/>
  <c r="CS211"/>
  <c r="CR211"/>
  <c r="CQ211"/>
  <c r="CO211"/>
  <c r="CV211" s="1"/>
  <c r="CN211"/>
  <c r="CJ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4"/>
  <c r="E103"/>
  <c r="E105" s="1"/>
  <c r="E102"/>
  <c r="E101"/>
  <c r="I100"/>
  <c r="H100"/>
  <c r="J100" s="1"/>
  <c r="G100"/>
  <c r="F66"/>
  <c r="J47"/>
  <c r="F68" s="1"/>
  <c r="J46"/>
  <c r="J45"/>
  <c r="F67" s="1"/>
  <c r="J43"/>
  <c r="J42"/>
  <c r="J41"/>
  <c r="J40"/>
  <c r="J39"/>
  <c r="J38"/>
  <c r="J37"/>
  <c r="F65" s="1"/>
  <c r="J34"/>
  <c r="F63" s="1"/>
  <c r="J33"/>
  <c r="F62" s="1"/>
  <c r="J31"/>
  <c r="J30"/>
  <c r="J29"/>
  <c r="J28"/>
  <c r="J27"/>
  <c r="J26"/>
  <c r="J25"/>
  <c r="J24"/>
  <c r="J23"/>
  <c r="F61" s="1"/>
  <c r="J21"/>
  <c r="J20"/>
  <c r="J19"/>
  <c r="J18"/>
  <c r="J17"/>
  <c r="J16"/>
  <c r="J15"/>
  <c r="J14"/>
  <c r="F60" s="1"/>
  <c r="J12"/>
  <c r="J9"/>
  <c r="R7" s="1"/>
  <c r="J8"/>
  <c r="F55" s="1"/>
  <c r="P7"/>
  <c r="CD216" i="10"/>
  <c r="CI218" s="1"/>
  <c r="CO214"/>
  <c r="CD214"/>
  <c r="CO213"/>
  <c r="CU213" s="1"/>
  <c r="CD213"/>
  <c r="CJ213" s="1"/>
  <c r="CU212"/>
  <c r="CS212"/>
  <c r="CR212"/>
  <c r="CQ212"/>
  <c r="CO212"/>
  <c r="CV212" s="1"/>
  <c r="CN212"/>
  <c r="CJ212"/>
  <c r="CH212"/>
  <c r="CG212"/>
  <c r="CF212"/>
  <c r="CD212"/>
  <c r="CK212" s="1"/>
  <c r="CC212"/>
  <c r="CU211"/>
  <c r="CS211"/>
  <c r="CR211"/>
  <c r="CQ211"/>
  <c r="CO211"/>
  <c r="CV211" s="1"/>
  <c r="CN211"/>
  <c r="CJ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1"/>
  <c r="E100"/>
  <c r="E102" s="1"/>
  <c r="E99"/>
  <c r="E98"/>
  <c r="I97"/>
  <c r="H97"/>
  <c r="J97" s="1"/>
  <c r="G97"/>
  <c r="F63"/>
  <c r="J44"/>
  <c r="F65" s="1"/>
  <c r="J43"/>
  <c r="J42"/>
  <c r="F64" s="1"/>
  <c r="J40"/>
  <c r="J39"/>
  <c r="J38"/>
  <c r="J37"/>
  <c r="J36"/>
  <c r="J35"/>
  <c r="J34"/>
  <c r="F62" s="1"/>
  <c r="J31"/>
  <c r="F60" s="1"/>
  <c r="J30"/>
  <c r="F59" s="1"/>
  <c r="J28"/>
  <c r="J27"/>
  <c r="J26"/>
  <c r="J25"/>
  <c r="J24"/>
  <c r="J23"/>
  <c r="F58" s="1"/>
  <c r="J21"/>
  <c r="J20"/>
  <c r="J19"/>
  <c r="J18"/>
  <c r="J17"/>
  <c r="J16"/>
  <c r="J15"/>
  <c r="J14"/>
  <c r="F57" s="1"/>
  <c r="J12"/>
  <c r="J9"/>
  <c r="F53" s="1"/>
  <c r="J8"/>
  <c r="F52" s="1"/>
  <c r="Q7"/>
  <c r="P7"/>
  <c r="R6"/>
  <c r="CD218" i="9"/>
  <c r="CI220" s="1"/>
  <c r="CT217"/>
  <c r="CI217"/>
  <c r="CT216"/>
  <c r="CI216"/>
  <c r="CO214"/>
  <c r="CD214"/>
  <c r="CO213"/>
  <c r="CU213" s="1"/>
  <c r="CD213"/>
  <c r="CU212"/>
  <c r="CS212"/>
  <c r="CR212"/>
  <c r="CQ212"/>
  <c r="CO212"/>
  <c r="CV212" s="1"/>
  <c r="CN212"/>
  <c r="CJ212"/>
  <c r="CH212"/>
  <c r="CG212"/>
  <c r="CF212"/>
  <c r="CD212"/>
  <c r="CK212" s="1"/>
  <c r="CC212"/>
  <c r="CU211"/>
  <c r="CS211"/>
  <c r="CR211"/>
  <c r="CQ211"/>
  <c r="CO211"/>
  <c r="CV211" s="1"/>
  <c r="CN211"/>
  <c r="CJ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1"/>
  <c r="E100"/>
  <c r="E102" s="1"/>
  <c r="E99"/>
  <c r="E98"/>
  <c r="I97"/>
  <c r="H97"/>
  <c r="J97" s="1"/>
  <c r="G97"/>
  <c r="F63"/>
  <c r="F59"/>
  <c r="J44"/>
  <c r="F65" s="1"/>
  <c r="J43"/>
  <c r="J42"/>
  <c r="F64" s="1"/>
  <c r="J40"/>
  <c r="J39"/>
  <c r="J38"/>
  <c r="J37"/>
  <c r="J36"/>
  <c r="J35"/>
  <c r="J34"/>
  <c r="F62" s="1"/>
  <c r="J31"/>
  <c r="F60" s="1"/>
  <c r="J30"/>
  <c r="J28"/>
  <c r="J27"/>
  <c r="J26"/>
  <c r="J25"/>
  <c r="J24"/>
  <c r="J23"/>
  <c r="F58" s="1"/>
  <c r="J21"/>
  <c r="J20"/>
  <c r="J19"/>
  <c r="J18"/>
  <c r="J17"/>
  <c r="J16"/>
  <c r="J15"/>
  <c r="J14"/>
  <c r="J12"/>
  <c r="J9"/>
  <c r="R7" s="1"/>
  <c r="J8"/>
  <c r="F52" s="1"/>
  <c r="P7"/>
  <c r="R6"/>
  <c r="CD216" i="18"/>
  <c r="CI218" s="1"/>
  <c r="CO214"/>
  <c r="CD214"/>
  <c r="CO213"/>
  <c r="CU213" s="1"/>
  <c r="CD213"/>
  <c r="CJ213" s="1"/>
  <c r="CS212"/>
  <c r="CR212"/>
  <c r="CQ212"/>
  <c r="CO212"/>
  <c r="CU212" s="1"/>
  <c r="CN212"/>
  <c r="CJ212"/>
  <c r="CH212"/>
  <c r="CG212"/>
  <c r="CF212"/>
  <c r="CD212"/>
  <c r="CK212" s="1"/>
  <c r="CC212"/>
  <c r="CU211"/>
  <c r="CS211"/>
  <c r="CR211"/>
  <c r="CQ211"/>
  <c r="CO211"/>
  <c r="CV211" s="1"/>
  <c r="CN211"/>
  <c r="CJ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1"/>
  <c r="E100"/>
  <c r="E102" s="1"/>
  <c r="E99"/>
  <c r="E98"/>
  <c r="I97"/>
  <c r="H97"/>
  <c r="J97" s="1"/>
  <c r="G97"/>
  <c r="F63"/>
  <c r="J44"/>
  <c r="F65" s="1"/>
  <c r="J43"/>
  <c r="J42"/>
  <c r="F64" s="1"/>
  <c r="J40"/>
  <c r="J39"/>
  <c r="J38"/>
  <c r="J37"/>
  <c r="J36"/>
  <c r="J35"/>
  <c r="J34"/>
  <c r="F62" s="1"/>
  <c r="J31"/>
  <c r="F60" s="1"/>
  <c r="J30"/>
  <c r="F59" s="1"/>
  <c r="J28"/>
  <c r="J27"/>
  <c r="J26"/>
  <c r="J25"/>
  <c r="J24"/>
  <c r="J23"/>
  <c r="F58" s="1"/>
  <c r="J21"/>
  <c r="J20"/>
  <c r="J19"/>
  <c r="J18"/>
  <c r="J17"/>
  <c r="J16"/>
  <c r="J15"/>
  <c r="J14"/>
  <c r="J12"/>
  <c r="J9"/>
  <c r="F53" s="1"/>
  <c r="J8"/>
  <c r="F52" s="1"/>
  <c r="CD216" i="8"/>
  <c r="CI218" s="1"/>
  <c r="CO214"/>
  <c r="CD214"/>
  <c r="CO213"/>
  <c r="CU213" s="1"/>
  <c r="CD213"/>
  <c r="CJ213" s="1"/>
  <c r="CS212"/>
  <c r="CR212"/>
  <c r="CQ212"/>
  <c r="CO212"/>
  <c r="CU212" s="1"/>
  <c r="CN212"/>
  <c r="CH212"/>
  <c r="CG212"/>
  <c r="CF212"/>
  <c r="CD212"/>
  <c r="CJ212" s="1"/>
  <c r="CC212"/>
  <c r="CS211"/>
  <c r="CR211"/>
  <c r="CQ211"/>
  <c r="CO211"/>
  <c r="CU211" s="1"/>
  <c r="CN211"/>
  <c r="CH211"/>
  <c r="CG211"/>
  <c r="CF211"/>
  <c r="CD211"/>
  <c r="CJ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1"/>
  <c r="E100"/>
  <c r="E102" s="1"/>
  <c r="E99"/>
  <c r="E98"/>
  <c r="J97"/>
  <c r="I97"/>
  <c r="H97"/>
  <c r="G97"/>
  <c r="F97"/>
  <c r="F63"/>
  <c r="J44"/>
  <c r="F65" s="1"/>
  <c r="J43"/>
  <c r="J42"/>
  <c r="F64" s="1"/>
  <c r="J40"/>
  <c r="J39"/>
  <c r="J38"/>
  <c r="J37"/>
  <c r="J36"/>
  <c r="J35"/>
  <c r="J34"/>
  <c r="F62" s="1"/>
  <c r="J31"/>
  <c r="F60" s="1"/>
  <c r="J30"/>
  <c r="F59" s="1"/>
  <c r="J28"/>
  <c r="J27"/>
  <c r="J26"/>
  <c r="J25"/>
  <c r="J24"/>
  <c r="J23"/>
  <c r="F58" s="1"/>
  <c r="J21"/>
  <c r="J20"/>
  <c r="J19"/>
  <c r="J18"/>
  <c r="J17"/>
  <c r="J16"/>
  <c r="J15"/>
  <c r="J14"/>
  <c r="J12"/>
  <c r="F9"/>
  <c r="J9" s="1"/>
  <c r="J8"/>
  <c r="F52" s="1"/>
  <c r="CO216" i="3"/>
  <c r="CU218" s="1"/>
  <c r="CD216"/>
  <c r="CI218" s="1"/>
  <c r="CO214"/>
  <c r="CV213" s="1"/>
  <c r="CD214"/>
  <c r="CI213" s="1"/>
  <c r="CO213"/>
  <c r="CK213"/>
  <c r="CD213"/>
  <c r="CS212"/>
  <c r="CR212"/>
  <c r="CQ212"/>
  <c r="CO212"/>
  <c r="CU212" s="1"/>
  <c r="CN212"/>
  <c r="CH212"/>
  <c r="CG212"/>
  <c r="CF212"/>
  <c r="CD212"/>
  <c r="CJ212" s="1"/>
  <c r="CC212"/>
  <c r="CS211"/>
  <c r="CR211"/>
  <c r="CQ211"/>
  <c r="CO211"/>
  <c r="CU211" s="1"/>
  <c r="CN211"/>
  <c r="CH211"/>
  <c r="CG211"/>
  <c r="CF211"/>
  <c r="CD211"/>
  <c r="CJ211" s="1"/>
  <c r="CC211"/>
  <c r="CR210"/>
  <c r="CO210"/>
  <c r="CU210" s="1"/>
  <c r="CN210"/>
  <c r="CG210"/>
  <c r="CD210"/>
  <c r="CJ210" s="1"/>
  <c r="CC210"/>
  <c r="CQ210" s="1"/>
  <c r="CR209"/>
  <c r="CO209"/>
  <c r="CU209" s="1"/>
  <c r="CN209"/>
  <c r="CG209"/>
  <c r="CD209"/>
  <c r="CJ209" s="1"/>
  <c r="CC209"/>
  <c r="CQ209" s="1"/>
  <c r="CR208"/>
  <c r="CO208"/>
  <c r="CU208" s="1"/>
  <c r="CN208"/>
  <c r="CG208"/>
  <c r="CD208"/>
  <c r="CJ208" s="1"/>
  <c r="CC208"/>
  <c r="CQ208" s="1"/>
  <c r="CR207"/>
  <c r="CO207"/>
  <c r="CU207" s="1"/>
  <c r="CN207"/>
  <c r="CG207"/>
  <c r="CD207"/>
  <c r="CJ207" s="1"/>
  <c r="CC207"/>
  <c r="CQ207" s="1"/>
  <c r="CR206"/>
  <c r="CO206"/>
  <c r="CU206" s="1"/>
  <c r="CN206"/>
  <c r="CG206"/>
  <c r="CD206"/>
  <c r="CJ206" s="1"/>
  <c r="CC206"/>
  <c r="CQ206" s="1"/>
  <c r="E102"/>
  <c r="E101"/>
  <c r="E103" s="1"/>
  <c r="E100"/>
  <c r="E99"/>
  <c r="H98"/>
  <c r="G98" s="1"/>
  <c r="J45"/>
  <c r="F66" s="1"/>
  <c r="J44"/>
  <c r="J43"/>
  <c r="J42"/>
  <c r="J40"/>
  <c r="F64" s="1"/>
  <c r="J39"/>
  <c r="J38"/>
  <c r="J37"/>
  <c r="F63" s="1"/>
  <c r="J36"/>
  <c r="J35"/>
  <c r="J34"/>
  <c r="J30"/>
  <c r="F60" s="1"/>
  <c r="J28"/>
  <c r="J27"/>
  <c r="J26"/>
  <c r="J25"/>
  <c r="F59" s="1"/>
  <c r="J24"/>
  <c r="J23"/>
  <c r="J21"/>
  <c r="J18"/>
  <c r="J17"/>
  <c r="J16"/>
  <c r="J15"/>
  <c r="J14"/>
  <c r="J12"/>
  <c r="F57" s="1"/>
  <c r="J9"/>
  <c r="R7" s="1"/>
  <c r="J8"/>
  <c r="F53" s="1"/>
  <c r="F65" l="1"/>
  <c r="F57" i="18"/>
  <c r="F57" i="12"/>
  <c r="R6"/>
  <c r="Q7"/>
  <c r="P7"/>
  <c r="P6"/>
  <c r="P6" i="10"/>
  <c r="F57" i="9"/>
  <c r="CJ213"/>
  <c r="Q7" i="18"/>
  <c r="P7"/>
  <c r="J10"/>
  <c r="F54" s="1"/>
  <c r="R6"/>
  <c r="P6"/>
  <c r="F57" i="8"/>
  <c r="Q6" i="3"/>
  <c r="P6"/>
  <c r="Q7"/>
  <c r="P7"/>
  <c r="R6"/>
  <c r="F54"/>
  <c r="F58"/>
  <c r="CJ213"/>
  <c r="CT213"/>
  <c r="CJ215"/>
  <c r="CU213"/>
  <c r="CU215" s="1"/>
  <c r="CU219" s="1"/>
  <c r="CJ223" i="9"/>
  <c r="CU223" s="1"/>
  <c r="CJ221" i="12"/>
  <c r="CU221" s="1"/>
  <c r="CI221" i="8"/>
  <c r="CT221" s="1"/>
  <c r="CI221" i="18"/>
  <c r="CT221" s="1"/>
  <c r="CI221" i="11"/>
  <c r="CT221" s="1"/>
  <c r="CJ221" i="3"/>
  <c r="CU221" s="1"/>
  <c r="CI221" i="10"/>
  <c r="CT221" s="1"/>
  <c r="CJ221" i="18"/>
  <c r="CU221" s="1"/>
  <c r="CI221" i="12"/>
  <c r="CT221" s="1"/>
  <c r="CJ221" i="11"/>
  <c r="CU221" s="1"/>
  <c r="CJ221" i="8"/>
  <c r="CU221" s="1"/>
  <c r="CI223" i="9"/>
  <c r="CT223" s="1"/>
  <c r="F25" i="7"/>
  <c r="P4" i="12"/>
  <c r="Q6"/>
  <c r="R7"/>
  <c r="F56"/>
  <c r="F97"/>
  <c r="CT206"/>
  <c r="CT207"/>
  <c r="CT208"/>
  <c r="CT209"/>
  <c r="CT210"/>
  <c r="CI211"/>
  <c r="CT211"/>
  <c r="CI212"/>
  <c r="CT212"/>
  <c r="CI213"/>
  <c r="CT213"/>
  <c r="CO216"/>
  <c r="J10"/>
  <c r="CH206"/>
  <c r="CK206" s="1"/>
  <c r="CS206"/>
  <c r="CV206" s="1"/>
  <c r="CV215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P4" i="11"/>
  <c r="CV207"/>
  <c r="CV209"/>
  <c r="P6"/>
  <c r="Q7"/>
  <c r="J10"/>
  <c r="F59"/>
  <c r="F100"/>
  <c r="CT206"/>
  <c r="CT207"/>
  <c r="CT208"/>
  <c r="CT209"/>
  <c r="CT210"/>
  <c r="CI211"/>
  <c r="CT211"/>
  <c r="CI212"/>
  <c r="CT212"/>
  <c r="CI213"/>
  <c r="CT213"/>
  <c r="CO216"/>
  <c r="CH206"/>
  <c r="CK206" s="1"/>
  <c r="CS206"/>
  <c r="CV206" s="1"/>
  <c r="CH207"/>
  <c r="CK207" s="1"/>
  <c r="CS207"/>
  <c r="CH208"/>
  <c r="CK208" s="1"/>
  <c r="CS208"/>
  <c r="CV208" s="1"/>
  <c r="CH209"/>
  <c r="CK209" s="1"/>
  <c r="CS209"/>
  <c r="CH210"/>
  <c r="CK210" s="1"/>
  <c r="CS210"/>
  <c r="CV210" s="1"/>
  <c r="CK218"/>
  <c r="R4" s="1"/>
  <c r="R6"/>
  <c r="F56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Q6"/>
  <c r="CF206"/>
  <c r="CI206" s="1"/>
  <c r="CF207"/>
  <c r="CI207" s="1"/>
  <c r="CF208"/>
  <c r="CI208" s="1"/>
  <c r="CF209"/>
  <c r="CI209" s="1"/>
  <c r="CF210"/>
  <c r="CI210" s="1"/>
  <c r="P4" i="10"/>
  <c r="Q6"/>
  <c r="R7"/>
  <c r="F56"/>
  <c r="F97"/>
  <c r="CT206"/>
  <c r="CT207"/>
  <c r="CT208"/>
  <c r="CT209"/>
  <c r="CT210"/>
  <c r="CI211"/>
  <c r="CT211"/>
  <c r="CI212"/>
  <c r="CT212"/>
  <c r="CI213"/>
  <c r="CT213"/>
  <c r="CO216"/>
  <c r="J10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P4" i="9"/>
  <c r="CV207"/>
  <c r="CV209"/>
  <c r="P6"/>
  <c r="Q7"/>
  <c r="J10"/>
  <c r="F56"/>
  <c r="F97"/>
  <c r="CT206"/>
  <c r="CT207"/>
  <c r="CT208"/>
  <c r="CT209"/>
  <c r="CT210"/>
  <c r="CI211"/>
  <c r="CT211"/>
  <c r="CI212"/>
  <c r="CT212"/>
  <c r="CI213"/>
  <c r="CT213"/>
  <c r="CO218"/>
  <c r="CH206"/>
  <c r="CK206" s="1"/>
  <c r="CS206"/>
  <c r="CV206" s="1"/>
  <c r="CH207"/>
  <c r="CK207" s="1"/>
  <c r="CS207"/>
  <c r="CH208"/>
  <c r="CK208" s="1"/>
  <c r="CS208"/>
  <c r="CV208" s="1"/>
  <c r="CH209"/>
  <c r="CK209" s="1"/>
  <c r="CS209"/>
  <c r="CH210"/>
  <c r="CK210" s="1"/>
  <c r="CS210"/>
  <c r="CV210" s="1"/>
  <c r="CK220"/>
  <c r="R4" s="1"/>
  <c r="F53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20"/>
  <c r="Q4" s="1"/>
  <c r="Q6"/>
  <c r="CF206"/>
  <c r="CI206" s="1"/>
  <c r="CF207"/>
  <c r="CI207" s="1"/>
  <c r="CF208"/>
  <c r="CI208" s="1"/>
  <c r="CF209"/>
  <c r="CI209" s="1"/>
  <c r="CF210"/>
  <c r="CI210" s="1"/>
  <c r="P4" i="18"/>
  <c r="CK207"/>
  <c r="Q6"/>
  <c r="R7"/>
  <c r="F56"/>
  <c r="F97"/>
  <c r="CT206"/>
  <c r="CT207"/>
  <c r="CT208"/>
  <c r="CT209"/>
  <c r="CT210"/>
  <c r="CI211"/>
  <c r="CT211"/>
  <c r="CI212"/>
  <c r="CT212"/>
  <c r="CI213"/>
  <c r="CT213"/>
  <c r="CO216"/>
  <c r="CH206"/>
  <c r="CK206" s="1"/>
  <c r="CS206"/>
  <c r="CV206" s="1"/>
  <c r="CH207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V212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F53" i="8"/>
  <c r="J10"/>
  <c r="P4"/>
  <c r="F56"/>
  <c r="CT206"/>
  <c r="CT207"/>
  <c r="CT208"/>
  <c r="CT209"/>
  <c r="CT210"/>
  <c r="CI211"/>
  <c r="CT211"/>
  <c r="CI212"/>
  <c r="CT212"/>
  <c r="CI213"/>
  <c r="CT213"/>
  <c r="CO216"/>
  <c r="CH207"/>
  <c r="CH208"/>
  <c r="CS208"/>
  <c r="CH209"/>
  <c r="CS209"/>
  <c r="CH210"/>
  <c r="CS210"/>
  <c r="CK218"/>
  <c r="R4" s="1"/>
  <c r="CH206"/>
  <c r="CS206"/>
  <c r="CS207"/>
  <c r="CV207" s="1"/>
  <c r="CG206"/>
  <c r="CJ206" s="1"/>
  <c r="CK206"/>
  <c r="CR206"/>
  <c r="CU206" s="1"/>
  <c r="CV206"/>
  <c r="CG207"/>
  <c r="CJ207" s="1"/>
  <c r="CK207"/>
  <c r="CR207"/>
  <c r="CU207" s="1"/>
  <c r="CG208"/>
  <c r="CJ208" s="1"/>
  <c r="CK208"/>
  <c r="CR208"/>
  <c r="CU208" s="1"/>
  <c r="CV208"/>
  <c r="CG209"/>
  <c r="CJ209" s="1"/>
  <c r="CK209"/>
  <c r="CR209"/>
  <c r="CU209" s="1"/>
  <c r="CV209"/>
  <c r="CG210"/>
  <c r="CJ210" s="1"/>
  <c r="CK210"/>
  <c r="CR210"/>
  <c r="CU210" s="1"/>
  <c r="CV210"/>
  <c r="CK211"/>
  <c r="CV211"/>
  <c r="CK212"/>
  <c r="CV212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P4" i="3"/>
  <c r="J10"/>
  <c r="F98"/>
  <c r="J98"/>
  <c r="CT206"/>
  <c r="CT207"/>
  <c r="CT208"/>
  <c r="CT209"/>
  <c r="CT210"/>
  <c r="CI211"/>
  <c r="CT211"/>
  <c r="CI212"/>
  <c r="CT212"/>
  <c r="CT218"/>
  <c r="I98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K218"/>
  <c r="R4" s="1"/>
  <c r="CV210"/>
  <c r="CK211"/>
  <c r="CV211"/>
  <c r="CK212"/>
  <c r="CV212"/>
  <c r="CJ218"/>
  <c r="Q4" s="1"/>
  <c r="CV218"/>
  <c r="CF206"/>
  <c r="CI206" s="1"/>
  <c r="CF207"/>
  <c r="CI207" s="1"/>
  <c r="CF208"/>
  <c r="CI208" s="1"/>
  <c r="CF209"/>
  <c r="CI209" s="1"/>
  <c r="CF210"/>
  <c r="CI210" s="1"/>
  <c r="CK221" i="11" l="1"/>
  <c r="CV221" s="1"/>
  <c r="CK221" i="18"/>
  <c r="CV221" s="1"/>
  <c r="CK221" i="12"/>
  <c r="CV221" s="1"/>
  <c r="CK221" i="10"/>
  <c r="CV221" s="1"/>
  <c r="CK221" i="8"/>
  <c r="CV221" s="1"/>
  <c r="CK223" i="9"/>
  <c r="CV223" s="1"/>
  <c r="CK221" i="3"/>
  <c r="CV221" s="1"/>
  <c r="CI215" i="12"/>
  <c r="CK215"/>
  <c r="CK219" s="1"/>
  <c r="R5" s="1"/>
  <c r="CU218"/>
  <c r="CV218"/>
  <c r="CV219" s="1"/>
  <c r="CT218"/>
  <c r="F54"/>
  <c r="CJ215"/>
  <c r="CJ219" s="1"/>
  <c r="CT215"/>
  <c r="CU215"/>
  <c r="CI215" i="11"/>
  <c r="CK215"/>
  <c r="CK219" s="1"/>
  <c r="R5" s="1"/>
  <c r="CV215"/>
  <c r="CJ215"/>
  <c r="CJ219" s="1"/>
  <c r="CU215"/>
  <c r="CU219" s="1"/>
  <c r="CD223"/>
  <c r="CU218"/>
  <c r="CV218"/>
  <c r="CT218"/>
  <c r="F57"/>
  <c r="CT215"/>
  <c r="CO222" s="1"/>
  <c r="CV215" i="10"/>
  <c r="CI215"/>
  <c r="CK215"/>
  <c r="CK219" s="1"/>
  <c r="R5" s="1"/>
  <c r="CU215"/>
  <c r="CU219" s="1"/>
  <c r="CU218"/>
  <c r="CV218"/>
  <c r="CT218"/>
  <c r="F54"/>
  <c r="CJ215"/>
  <c r="CJ219" s="1"/>
  <c r="CT215"/>
  <c r="CK215" i="9"/>
  <c r="CK221" s="1"/>
  <c r="R5" s="1"/>
  <c r="CV215"/>
  <c r="CI215"/>
  <c r="CJ215"/>
  <c r="CJ221" s="1"/>
  <c r="Q5" s="1"/>
  <c r="CU215"/>
  <c r="CU221" s="1"/>
  <c r="CD225"/>
  <c r="CU220"/>
  <c r="CV220"/>
  <c r="CT220"/>
  <c r="F54"/>
  <c r="CT215"/>
  <c r="CO224" s="1"/>
  <c r="CK215" i="18"/>
  <c r="CK219" s="1"/>
  <c r="R5" s="1"/>
  <c r="CI215"/>
  <c r="CV215"/>
  <c r="CU218"/>
  <c r="CV218"/>
  <c r="CT218"/>
  <c r="CD223"/>
  <c r="CJ215"/>
  <c r="CJ219" s="1"/>
  <c r="CT215"/>
  <c r="CU215"/>
  <c r="CI215" i="8"/>
  <c r="CU215"/>
  <c r="CU219" s="1"/>
  <c r="CJ215"/>
  <c r="CJ219" s="1"/>
  <c r="F54"/>
  <c r="CD223"/>
  <c r="CU218"/>
  <c r="Q6" s="1"/>
  <c r="CV218"/>
  <c r="R6" s="1"/>
  <c r="CT218"/>
  <c r="CV215"/>
  <c r="CV219" s="1"/>
  <c r="R7" s="1"/>
  <c r="CK215"/>
  <c r="CK219" s="1"/>
  <c r="R5" s="1"/>
  <c r="CT215"/>
  <c r="CI215" i="3"/>
  <c r="CO223"/>
  <c r="CV215"/>
  <c r="CV219" s="1"/>
  <c r="CJ219"/>
  <c r="CD223"/>
  <c r="F55"/>
  <c r="CK215"/>
  <c r="CK219" s="1"/>
  <c r="R5" s="1"/>
  <c r="CT215"/>
  <c r="CO222" s="1"/>
  <c r="CO222" i="8" l="1"/>
  <c r="CO224" i="3"/>
  <c r="CD223" i="10"/>
  <c r="CO222" i="12"/>
  <c r="CD223"/>
  <c r="CD222"/>
  <c r="CI219"/>
  <c r="P5" s="1"/>
  <c r="CU219"/>
  <c r="CO224" s="1"/>
  <c r="CO223"/>
  <c r="CT219"/>
  <c r="Q5"/>
  <c r="CD224"/>
  <c r="CO223" i="11"/>
  <c r="CT219"/>
  <c r="CD222"/>
  <c r="CI219"/>
  <c r="P5" s="1"/>
  <c r="Q5"/>
  <c r="CD224"/>
  <c r="CV219"/>
  <c r="CO224" s="1"/>
  <c r="CO222" i="10"/>
  <c r="CV219"/>
  <c r="CO224" s="1"/>
  <c r="Q5"/>
  <c r="CD224"/>
  <c r="CO223"/>
  <c r="CT219"/>
  <c r="CD222"/>
  <c r="CI219"/>
  <c r="P5" s="1"/>
  <c r="CO225" i="9"/>
  <c r="CT221"/>
  <c r="CD224"/>
  <c r="CI221"/>
  <c r="CV221"/>
  <c r="CO222" i="18"/>
  <c r="Q5"/>
  <c r="CD224"/>
  <c r="CO223"/>
  <c r="CT219"/>
  <c r="CD222"/>
  <c r="CI219"/>
  <c r="P5" s="1"/>
  <c r="CU219"/>
  <c r="CV219"/>
  <c r="CD222" i="8"/>
  <c r="CI219"/>
  <c r="P5" s="1"/>
  <c r="CO223"/>
  <c r="CT219"/>
  <c r="P7" s="1"/>
  <c r="P6"/>
  <c r="CO224"/>
  <c r="Q7"/>
  <c r="CD224"/>
  <c r="Q5"/>
  <c r="Q5" i="3"/>
  <c r="CD224"/>
  <c r="CD222"/>
  <c r="CI219"/>
  <c r="P5" s="1"/>
  <c r="CT219"/>
  <c r="CO224" i="18" l="1"/>
  <c r="CO226" i="9"/>
  <c r="P5"/>
  <c r="CD226"/>
  <c r="N6" i="20" l="1"/>
  <c r="N7"/>
  <c r="N8"/>
  <c r="N9"/>
  <c r="N10"/>
  <c r="N11"/>
  <c r="N12"/>
  <c r="N13"/>
  <c r="N14"/>
  <c r="N15"/>
  <c r="N16"/>
  <c r="N17"/>
  <c r="N19"/>
  <c r="N20"/>
  <c r="N21"/>
  <c r="N22"/>
  <c r="N23"/>
  <c r="N24"/>
  <c r="N25"/>
  <c r="N26"/>
  <c r="R21"/>
  <c r="G8" i="7" l="1"/>
  <c r="T21" i="20" l="1"/>
  <c r="G14" i="7" s="1"/>
  <c r="G15" s="1"/>
  <c r="M19" i="20"/>
  <c r="H32" i="12" l="1"/>
  <c r="J32" s="1"/>
  <c r="H32" i="3"/>
  <c r="J32" s="1"/>
  <c r="H35" i="11"/>
  <c r="J35" s="1"/>
  <c r="H32" i="8"/>
  <c r="J32" s="1"/>
  <c r="H32" i="9"/>
  <c r="J32" s="1"/>
  <c r="H32" i="10"/>
  <c r="J32" s="1"/>
  <c r="H32" i="18"/>
  <c r="J32" s="1"/>
  <c r="M6" i="20"/>
  <c r="E7" i="4"/>
  <c r="D7"/>
  <c r="F61" i="9" l="1"/>
  <c r="F66" s="1"/>
  <c r="F67" s="1"/>
  <c r="J45"/>
  <c r="F61" i="12"/>
  <c r="F66" s="1"/>
  <c r="F67" s="1"/>
  <c r="J45"/>
  <c r="F62" i="3"/>
  <c r="F67" s="1"/>
  <c r="F68" s="1"/>
  <c r="J46"/>
  <c r="F61" i="10"/>
  <c r="F66" s="1"/>
  <c r="F67" s="1"/>
  <c r="J45"/>
  <c r="F61" i="18"/>
  <c r="F66" s="1"/>
  <c r="F67" s="1"/>
  <c r="J45"/>
  <c r="F64" i="11"/>
  <c r="F69" s="1"/>
  <c r="F70" s="1"/>
  <c r="J48"/>
  <c r="F61" i="8"/>
  <c r="F66" s="1"/>
  <c r="F67" s="1"/>
  <c r="J45"/>
  <c r="F7" i="4"/>
  <c r="E10"/>
  <c r="D10"/>
  <c r="E11"/>
  <c r="D11"/>
  <c r="E9"/>
  <c r="D9"/>
  <c r="E8"/>
  <c r="D8"/>
  <c r="E6"/>
  <c r="D6"/>
  <c r="E5"/>
  <c r="D5"/>
  <c r="G6" l="1"/>
  <c r="J46" i="8"/>
  <c r="J47"/>
  <c r="G5" i="4"/>
  <c r="J47" i="3"/>
  <c r="D5" i="20" s="1"/>
  <c r="J48" i="3"/>
  <c r="G8" i="4"/>
  <c r="J46" i="9"/>
  <c r="J47"/>
  <c r="G7" i="4"/>
  <c r="J46" i="18"/>
  <c r="J47"/>
  <c r="G11" i="4"/>
  <c r="J49" i="11"/>
  <c r="J50"/>
  <c r="G9" i="4"/>
  <c r="J46" i="10"/>
  <c r="J47"/>
  <c r="G10" i="4"/>
  <c r="J46" i="12"/>
  <c r="J47"/>
  <c r="F10" i="4"/>
  <c r="F11"/>
  <c r="H10" l="1"/>
  <c r="I5" i="20"/>
  <c r="H100" i="12"/>
  <c r="H9" i="4"/>
  <c r="H100" i="10"/>
  <c r="H5" i="20"/>
  <c r="H101" i="3"/>
  <c r="H5" i="4"/>
  <c r="H11"/>
  <c r="J5" i="20"/>
  <c r="H103" i="11"/>
  <c r="H6" i="4"/>
  <c r="E5" i="20"/>
  <c r="H100" i="8"/>
  <c r="H8" i="4"/>
  <c r="G5" i="20"/>
  <c r="H100" i="9"/>
  <c r="H7" i="4"/>
  <c r="F5" i="20"/>
  <c r="H100" i="18"/>
  <c r="F9" i="4"/>
  <c r="J100" i="18" l="1"/>
  <c r="F100"/>
  <c r="H101"/>
  <c r="I100"/>
  <c r="H99"/>
  <c r="G100"/>
  <c r="H98"/>
  <c r="H102"/>
  <c r="J100" i="10"/>
  <c r="H98"/>
  <c r="H101"/>
  <c r="F100"/>
  <c r="H102"/>
  <c r="H99"/>
  <c r="G100"/>
  <c r="I100"/>
  <c r="H101" i="9"/>
  <c r="G100"/>
  <c r="F100"/>
  <c r="H98"/>
  <c r="J100"/>
  <c r="H99"/>
  <c r="H102"/>
  <c r="I100"/>
  <c r="H101" i="8"/>
  <c r="F100"/>
  <c r="H98"/>
  <c r="I100"/>
  <c r="H99"/>
  <c r="H102"/>
  <c r="J100"/>
  <c r="G100"/>
  <c r="H104" i="11"/>
  <c r="J103"/>
  <c r="H105"/>
  <c r="H101"/>
  <c r="F103"/>
  <c r="G103"/>
  <c r="H102"/>
  <c r="I103"/>
  <c r="G101" i="3"/>
  <c r="H102"/>
  <c r="I101"/>
  <c r="H99"/>
  <c r="H100"/>
  <c r="J101"/>
  <c r="H103"/>
  <c r="F101"/>
  <c r="J100" i="12"/>
  <c r="G100"/>
  <c r="F100"/>
  <c r="H99"/>
  <c r="I100"/>
  <c r="H101"/>
  <c r="H102"/>
  <c r="H98"/>
  <c r="F6" i="4"/>
  <c r="J104" i="11" l="1"/>
  <c r="I104"/>
  <c r="F104"/>
  <c r="G104"/>
  <c r="F99" i="8"/>
  <c r="J99"/>
  <c r="I99"/>
  <c r="G99"/>
  <c r="J101"/>
  <c r="F101"/>
  <c r="G101"/>
  <c r="I101"/>
  <c r="J101" i="9"/>
  <c r="F101"/>
  <c r="I101"/>
  <c r="G101"/>
  <c r="J102" i="10"/>
  <c r="I102"/>
  <c r="F102"/>
  <c r="G102"/>
  <c r="G99" i="18"/>
  <c r="I99"/>
  <c r="F99"/>
  <c r="J99"/>
  <c r="I101" i="12"/>
  <c r="J101"/>
  <c r="G101"/>
  <c r="F101"/>
  <c r="F102" i="3"/>
  <c r="G102"/>
  <c r="J102"/>
  <c r="I102"/>
  <c r="I102" i="8"/>
  <c r="J102"/>
  <c r="G102"/>
  <c r="F102"/>
  <c r="J99" i="9"/>
  <c r="F99"/>
  <c r="I99"/>
  <c r="G99"/>
  <c r="F99" i="10"/>
  <c r="J99"/>
  <c r="G99"/>
  <c r="I99"/>
  <c r="G98"/>
  <c r="F98"/>
  <c r="I98"/>
  <c r="J98"/>
  <c r="F100" i="3"/>
  <c r="G100"/>
  <c r="J100"/>
  <c r="I100"/>
  <c r="F102" i="12"/>
  <c r="G102"/>
  <c r="I102"/>
  <c r="J102"/>
  <c r="F103" i="3"/>
  <c r="J103"/>
  <c r="G103"/>
  <c r="I103"/>
  <c r="F102" i="11"/>
  <c r="G102"/>
  <c r="I102"/>
  <c r="J102"/>
  <c r="I105"/>
  <c r="G105"/>
  <c r="F105"/>
  <c r="J105"/>
  <c r="J98" i="8"/>
  <c r="F98"/>
  <c r="I98"/>
  <c r="G98"/>
  <c r="J102" i="9"/>
  <c r="F102"/>
  <c r="I102"/>
  <c r="G102"/>
  <c r="I101" i="10"/>
  <c r="J101"/>
  <c r="F101"/>
  <c r="G101"/>
  <c r="J98" i="18"/>
  <c r="G98"/>
  <c r="F98"/>
  <c r="I98"/>
  <c r="F101"/>
  <c r="G101"/>
  <c r="J101"/>
  <c r="I101"/>
  <c r="I98" i="12"/>
  <c r="G98"/>
  <c r="F98"/>
  <c r="J98"/>
  <c r="G99"/>
  <c r="I99"/>
  <c r="F99"/>
  <c r="J99"/>
  <c r="F99" i="3"/>
  <c r="G99"/>
  <c r="I99"/>
  <c r="J99"/>
  <c r="J101" i="11"/>
  <c r="I101"/>
  <c r="F101"/>
  <c r="G101"/>
  <c r="G98" i="9"/>
  <c r="J98"/>
  <c r="I98"/>
  <c r="F98"/>
  <c r="F102" i="18"/>
  <c r="J102"/>
  <c r="G102"/>
  <c r="I102"/>
  <c r="F8" i="4"/>
  <c r="V7" i="20" l="1"/>
  <c r="W7" s="1"/>
  <c r="V11"/>
  <c r="W11" s="1"/>
  <c r="V15"/>
  <c r="W15" s="1"/>
  <c r="V19"/>
  <c r="W19" s="1"/>
  <c r="V10"/>
  <c r="W10" s="1"/>
  <c r="V14"/>
  <c r="W14" s="1"/>
  <c r="V18"/>
  <c r="W18" s="1"/>
  <c r="V9"/>
  <c r="W9" s="1"/>
  <c r="V13"/>
  <c r="W13" s="1"/>
  <c r="V17"/>
  <c r="W17" s="1"/>
  <c r="V8"/>
  <c r="W8" s="1"/>
  <c r="V12"/>
  <c r="W12" s="1"/>
  <c r="V16"/>
  <c r="W16" s="1"/>
  <c r="V20"/>
  <c r="W20" s="1"/>
  <c r="V6"/>
  <c r="F5" i="4"/>
  <c r="W6" i="20" l="1"/>
  <c r="W21" s="1"/>
  <c r="R22"/>
  <c r="K5" s="1"/>
  <c r="N5" l="1"/>
</calcChain>
</file>

<file path=xl/comments1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3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4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
</t>
        </r>
      </text>
    </comment>
  </commentList>
</comments>
</file>

<file path=xl/comments5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6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7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sharedStrings.xml><?xml version="1.0" encoding="utf-8"?>
<sst xmlns="http://schemas.openxmlformats.org/spreadsheetml/2006/main" count="1963" uniqueCount="390">
  <si>
    <t>Komentari</t>
  </si>
  <si>
    <t>ha</t>
  </si>
  <si>
    <t>t/ha</t>
  </si>
  <si>
    <t>Količina</t>
  </si>
  <si>
    <t>Jedinica mere</t>
  </si>
  <si>
    <t>Cena</t>
  </si>
  <si>
    <t>I</t>
  </si>
  <si>
    <t>Prihod</t>
  </si>
  <si>
    <t>1.</t>
  </si>
  <si>
    <t>din/t</t>
  </si>
  <si>
    <t>2.</t>
  </si>
  <si>
    <t>II</t>
  </si>
  <si>
    <t>Varijabilni troškovi</t>
  </si>
  <si>
    <t>Seme</t>
  </si>
  <si>
    <t>S.J.</t>
  </si>
  <si>
    <t>din</t>
  </si>
  <si>
    <t>kg/ha</t>
  </si>
  <si>
    <t>din/kg</t>
  </si>
  <si>
    <t>3.</t>
  </si>
  <si>
    <t>Pesticidi</t>
  </si>
  <si>
    <t>c)</t>
  </si>
  <si>
    <t>d)</t>
  </si>
  <si>
    <t>e)</t>
  </si>
  <si>
    <t>f)</t>
  </si>
  <si>
    <t>4.</t>
  </si>
  <si>
    <t>din/l</t>
  </si>
  <si>
    <t>5.</t>
  </si>
  <si>
    <t>din/ha</t>
  </si>
  <si>
    <t>Setva</t>
  </si>
  <si>
    <t>6.</t>
  </si>
  <si>
    <t>Bruto marža</t>
  </si>
  <si>
    <t>Realno očekivan</t>
  </si>
  <si>
    <t>Ukupan prihod</t>
  </si>
  <si>
    <t>Zrno kukuruza</t>
  </si>
  <si>
    <t>Kukuruzovina</t>
  </si>
  <si>
    <t>a) Stajnjak</t>
  </si>
  <si>
    <t>Navodnjavanje</t>
  </si>
  <si>
    <t>Sezonska radna snaga</t>
  </si>
  <si>
    <t>Dizel gorivo</t>
  </si>
  <si>
    <t>Održavanje mehanizacije</t>
  </si>
  <si>
    <t>Energent</t>
  </si>
  <si>
    <t>Plaćena sezonska radna snaga</t>
  </si>
  <si>
    <t>Plaćene usluge mehanizacijom</t>
  </si>
  <si>
    <t>Oranje</t>
  </si>
  <si>
    <t>7.</t>
  </si>
  <si>
    <t>Berba</t>
  </si>
  <si>
    <t>8.</t>
  </si>
  <si>
    <t>Iznos            din/ha</t>
  </si>
  <si>
    <t>Sklop od 60.000 biljaka</t>
  </si>
  <si>
    <t>Priprema zemljišta</t>
  </si>
  <si>
    <t>9.</t>
  </si>
  <si>
    <t>10.</t>
  </si>
  <si>
    <t>Troškovi održavanja mehanizacije po litri dizel goriva</t>
  </si>
  <si>
    <t>Rade Popović</t>
  </si>
  <si>
    <t>Departman za agrarnu ekonomiju i agrobiznis</t>
  </si>
  <si>
    <t>Ekonomski fakultet u Subotici</t>
  </si>
  <si>
    <t>Univerzitet u Novom Sadu</t>
  </si>
  <si>
    <t>popovicr@ef.uns.ac.rs</t>
  </si>
  <si>
    <t>024/628064</t>
  </si>
  <si>
    <t>Litar</t>
  </si>
  <si>
    <t>Trošak skladištenja</t>
  </si>
  <si>
    <t>Transport do kupca</t>
  </si>
  <si>
    <t>kg</t>
  </si>
  <si>
    <t>a) Guardian</t>
  </si>
  <si>
    <t>b) Tezis</t>
  </si>
  <si>
    <t>Trošak krunjenja</t>
  </si>
  <si>
    <t>r.sati</t>
  </si>
  <si>
    <t>Ukupni varijabilni troškovi</t>
  </si>
  <si>
    <t xml:space="preserve">BRUTO MARŽA </t>
  </si>
  <si>
    <t>III</t>
  </si>
  <si>
    <t>din/r.s.</t>
  </si>
  <si>
    <t>Đubrivo</t>
  </si>
  <si>
    <t>(din/ha)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</si>
  <si>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kukuruza</t>
    </r>
  </si>
  <si>
    <r>
      <t xml:space="preserve">Prinos </t>
    </r>
    <r>
      <rPr>
        <sz val="11"/>
        <rFont val="Arial"/>
        <family val="2"/>
        <charset val="238"/>
      </rPr>
      <t>(kg/ha)</t>
    </r>
  </si>
  <si>
    <t>Očekivana</t>
  </si>
  <si>
    <t>Uskladištavanje, krunjenje i sl.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</si>
  <si>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kukuruza na 1 ha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</si>
  <si>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pšenice na 1 ha</t>
    </r>
  </si>
  <si>
    <t>Slama</t>
  </si>
  <si>
    <t>g</t>
  </si>
  <si>
    <t>a) Meteor</t>
  </si>
  <si>
    <t>Žetva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</si>
  <si>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soje na 1 ha</t>
    </r>
  </si>
  <si>
    <t>a) Rampa</t>
  </si>
  <si>
    <t>b) Galbenon</t>
  </si>
  <si>
    <t>c) Okvir</t>
  </si>
  <si>
    <t>b) Rezon</t>
  </si>
  <si>
    <t>c) Pantera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</si>
  <si>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šećerne repe na 1 ha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</si>
  <si>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suncokreta na 1 ha</t>
    </r>
  </si>
  <si>
    <t>Proizvodna godina:</t>
  </si>
  <si>
    <t>Šećerna repa</t>
  </si>
  <si>
    <t>a) Goltix</t>
  </si>
  <si>
    <t>b) Betanal AM 11</t>
  </si>
  <si>
    <t>c) Lontrel</t>
  </si>
  <si>
    <t>d) Safari</t>
  </si>
  <si>
    <t>gram</t>
  </si>
  <si>
    <t>din/g</t>
  </si>
  <si>
    <t>e) Fusilade forte</t>
  </si>
  <si>
    <t>f) Acanto plus</t>
  </si>
  <si>
    <t>g) Force 1,5 G</t>
  </si>
  <si>
    <t>h) Lebaycid</t>
  </si>
  <si>
    <t>i) Sphere</t>
  </si>
  <si>
    <t>Broj pona-vljanja</t>
  </si>
  <si>
    <t>Kukuruz u zrnu</t>
  </si>
  <si>
    <r>
      <t>Cena</t>
    </r>
    <r>
      <rPr>
        <sz val="11"/>
        <rFont val="Arial"/>
        <family val="2"/>
        <charset val="238"/>
      </rPr>
      <t xml:space="preserve"> (din/kg)</t>
    </r>
  </si>
  <si>
    <t>Suncokret</t>
  </si>
  <si>
    <t>Soja</t>
  </si>
  <si>
    <t>Pšenica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</si>
  <si>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šećerne repe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</si>
  <si>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suncokreta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</si>
  <si>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soje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</si>
  <si>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pšenice</t>
    </r>
  </si>
  <si>
    <t>Sadržaj:</t>
  </si>
  <si>
    <t>1.Kukuruz</t>
  </si>
  <si>
    <t>2.Pšenica</t>
  </si>
  <si>
    <t>a) Acetogal plus</t>
  </si>
  <si>
    <t>d) Pantera</t>
  </si>
  <si>
    <t>Kukuruz</t>
  </si>
  <si>
    <t>Ječam</t>
  </si>
  <si>
    <t>Rezime kalkulacije bruto marže proizvodnje kukuruza na 1 ha</t>
  </si>
  <si>
    <t>Rezime kalkulacije bruto marže proizvodnje pšenice na 1 ha</t>
  </si>
  <si>
    <t>Rezime kalkulacije bruto marže proizvodnje soje na 1 ha</t>
  </si>
  <si>
    <t>Rezime kalkulacije bruto marže proizvodnje suncokreta na 1 ha</t>
  </si>
  <si>
    <t>Rezime kalkulacije bruto marže proizvodnje šećerne repe na 1 ha</t>
  </si>
  <si>
    <t>Ostali varijabilni troškovi</t>
  </si>
  <si>
    <t>Rezime kalkulacija bruto marži linija biljne proizvodnje</t>
  </si>
  <si>
    <t>Usev</t>
  </si>
  <si>
    <t>Prinos</t>
  </si>
  <si>
    <t>Bruto  marža</t>
  </si>
  <si>
    <t>(t/ha)</t>
  </si>
  <si>
    <t>(din/kg)</t>
  </si>
  <si>
    <t>Neophodan oprez pri upotrebi bruto marži!</t>
  </si>
  <si>
    <t>Podaci u koloni Komentari obojeni u sivo</t>
  </si>
  <si>
    <t>U svim ostalim ćelijama nije omogućen unos, zbog zaštite funkcionalnosti obrazaca.</t>
  </si>
  <si>
    <t xml:space="preserve">Ukoliko poljoprivrednik razmenjuje usluge mehanizacije sa drugim poljoprivrednicima, za useve gde mu drugi </t>
  </si>
  <si>
    <t>poljoprivrednici pružaju usluge na primer: setve, žetve i slično, obavezno navesti vrednost primljene usluge.</t>
  </si>
  <si>
    <t xml:space="preserve">Analiza osetljivosti služi za ocenu proizvodnog i tržišnog rizika. Ako se očekuje veća varijacija cena ili prinosa </t>
  </si>
  <si>
    <t>u analizi osetljivosti opseg se može promeniti na: +/- 30, 40, 50% itd.</t>
  </si>
  <si>
    <t>Postoji nekoliko elemenata o kojima treba voditi računa kada se bruto marža koristi kao vodič pri izboru</t>
  </si>
  <si>
    <t>linija prozvodnje za narednu proizvodnu godinu:</t>
  </si>
  <si>
    <t xml:space="preserve">* svaka linija proizvodnje ima različit nivo proizvodnog i cenovnog rizika, o čemu se dodatno mora </t>
  </si>
  <si>
    <t>* likvidnost poljoprivrednog gazdinstva mora biti obezbeđena tokom cele godine, a odabrane</t>
  </si>
  <si>
    <t>Za sve sugestije i dodatna pitanja obratite se autoru modela:</t>
  </si>
  <si>
    <t xml:space="preserve">  linije proizvodnje imaju ključni uticaj,</t>
  </si>
  <si>
    <t xml:space="preserve">  aktivnosti imaju takođe uticaja na konačni izbor linija proizvodnje.</t>
  </si>
  <si>
    <t>Sojina slama</t>
  </si>
  <si>
    <t>Biomasa suncokreta</t>
  </si>
  <si>
    <t xml:space="preserve">  voditi računa pri izboru linija proizvodnje za plan poslovanja,</t>
  </si>
  <si>
    <t xml:space="preserve">* lične preferencije poljoprivrednika prema biljnoj i stočarskoj proizvodnji, kao i priroda radnih </t>
  </si>
  <si>
    <t>Da</t>
  </si>
  <si>
    <t>3.Ječam</t>
  </si>
  <si>
    <t>4.Soja</t>
  </si>
  <si>
    <t>5.Suncokret</t>
  </si>
  <si>
    <t>Osiguranje</t>
  </si>
  <si>
    <t>Ne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</si>
  <si>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ječma na 1 ha</t>
    </r>
  </si>
  <si>
    <t>PLAN POSLOVANJA POLJOPRIVREDNOG GAZDINSTVA</t>
  </si>
  <si>
    <t>Jedinice</t>
  </si>
  <si>
    <t>Rezime kalkulacije bruto marže proizvodnje ječma na 1 ha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</si>
  <si>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ječma</t>
    </r>
  </si>
  <si>
    <t>jed. mere</t>
  </si>
  <si>
    <t>Korišćeno poljoprivredno zemljište</t>
  </si>
  <si>
    <t>Radna snaga</t>
  </si>
  <si>
    <t>Broj stalno angažovanih lica na gazdinstvu</t>
  </si>
  <si>
    <t>radnik</t>
  </si>
  <si>
    <t>Godišnji fond radnih sati po radniku</t>
  </si>
  <si>
    <t>radni sati</t>
  </si>
  <si>
    <t>Mehanizacija</t>
  </si>
  <si>
    <t>Traktori</t>
  </si>
  <si>
    <t>Planirani troškovi održavanja mehanizacije</t>
  </si>
  <si>
    <t>din/godina</t>
  </si>
  <si>
    <t>litre/godina</t>
  </si>
  <si>
    <t>Uneti ukupnu površinu koju poljoprivrednik obrađuje (sopstvene + zakupljene površine)</t>
  </si>
  <si>
    <t>Procenjen godišnji iznos ukupnih izdataka za održavanje mehanizacije (redovni servis, rezervni delovi, usluge mehaničara, …)</t>
  </si>
  <si>
    <t>Usluge mehanizacijom</t>
  </si>
  <si>
    <t>Tip ograničenja</t>
  </si>
  <si>
    <t>Ograničenja</t>
  </si>
  <si>
    <t>KORIŠĆENO:</t>
  </si>
  <si>
    <t>Zemljište</t>
  </si>
  <si>
    <t>Radna snaga - januar</t>
  </si>
  <si>
    <t>radni čas</t>
  </si>
  <si>
    <t>Radna snaga - februar</t>
  </si>
  <si>
    <t>Radne operacije:</t>
  </si>
  <si>
    <t>Radna snaga - mart</t>
  </si>
  <si>
    <t>Zaštita</t>
  </si>
  <si>
    <t>Radna snaga - april</t>
  </si>
  <si>
    <t>Plan usluga</t>
  </si>
  <si>
    <t>Radna snaga - maj</t>
  </si>
  <si>
    <t>Radna snaga - jun</t>
  </si>
  <si>
    <t>Radna snaga - jul</t>
  </si>
  <si>
    <t>Trošak održavanja meh.</t>
  </si>
  <si>
    <t>Radna snaga - avgust</t>
  </si>
  <si>
    <t>Radna snaga - septembar</t>
  </si>
  <si>
    <t>Radna snaga - oktobar</t>
  </si>
  <si>
    <t>Radna snaga - novembar</t>
  </si>
  <si>
    <t>Ograničenje u plodoredu - Kukuruz</t>
  </si>
  <si>
    <t>Ograničenje u plodoredu - Pšenica</t>
  </si>
  <si>
    <t>Ograničenje u plodoredu - Ječam</t>
  </si>
  <si>
    <t>Ograničenje u plodoredu - Soja</t>
  </si>
  <si>
    <t>Ograničenje u plodoredu - Suncokret</t>
  </si>
  <si>
    <t>Ograničenje u plodoredu - Š. Repa</t>
  </si>
  <si>
    <t>ODGOVORI:</t>
  </si>
  <si>
    <t>Cena dizel goriva</t>
  </si>
  <si>
    <t>Tabela 1. Obračun bruto marže po radnom času pruženih usluga mehanizacijom</t>
  </si>
  <si>
    <t>UKUPNO:</t>
  </si>
  <si>
    <t>MAX</t>
  </si>
  <si>
    <t>MJ</t>
  </si>
  <si>
    <t>Cena usluge</t>
  </si>
  <si>
    <t>Tanjiranje</t>
  </si>
  <si>
    <t>Rasturanje min. đubriva</t>
  </si>
  <si>
    <t>Rad setvospremačem</t>
  </si>
  <si>
    <t>Drljanje</t>
  </si>
  <si>
    <t>Valjanje</t>
  </si>
  <si>
    <t>Međuredna obrada</t>
  </si>
  <si>
    <t>(ha)</t>
  </si>
  <si>
    <t>(litara/ha)</t>
  </si>
  <si>
    <t>(din/litra D)</t>
  </si>
  <si>
    <t>(din/litra)</t>
  </si>
  <si>
    <t>Potrošnja  goriva</t>
  </si>
  <si>
    <t>Prosečna bruto marža:</t>
  </si>
  <si>
    <t>UPUTSTVO za upotrebu Plana poslovanja poljoprivrednog gazdinstva</t>
  </si>
  <si>
    <t>Unos podataka se vrši samo u polja koja su obojena u oker boju.</t>
  </si>
  <si>
    <t>Ukupno radnih sati godišnje</t>
  </si>
  <si>
    <t>Na mesečnom nivou broj radnih sati se računa od 180 do 200</t>
  </si>
  <si>
    <t>Procenjena količina dizela potrebnog gazdinstvu na godišnjem nivou.</t>
  </si>
  <si>
    <t>Podatak se automatski unosi iz kartice PLAN na osnovu podataka unetih u Tabelu 1.</t>
  </si>
  <si>
    <t>kWh/god</t>
  </si>
  <si>
    <t>Ukupna snaga svih traktora</t>
  </si>
  <si>
    <t>Planirana potrošnja dizel goriva na njivama gazdinstva</t>
  </si>
  <si>
    <t>Dizel gorivo za izvršene usluge mehanizacijom</t>
  </si>
  <si>
    <t>Žetva i berba</t>
  </si>
  <si>
    <t>U radnom listu "Resursi" treba uneti raspoložive resurse tokom planske godine. Osim toga, potrebno je uneti</t>
  </si>
  <si>
    <t xml:space="preserve">planirane godišnje troškove održavanja mehanizacije, kao i planiranu godišnju količinu dizel goriva za </t>
  </si>
  <si>
    <t>gazdinstvo, kako bi se u obrascima kalkulacija mogli obračunati troškovi održavanja mehanizacije.</t>
  </si>
  <si>
    <t>U kategoriji prihodi unose se očekivani prinosi useva i očekivane cene sa PDV-om. Subvencije se ne unose</t>
  </si>
  <si>
    <t xml:space="preserve">zato što nisu vezane za određene proizvode. </t>
  </si>
  <si>
    <t>služe za unos beleški o unetim podacima.</t>
  </si>
  <si>
    <t xml:space="preserve">Kod kategorije varijabilni troškovi treba uneti podatke za 10 podgrupa troškova, tj. količine inputa i njihove cene. </t>
  </si>
  <si>
    <t>Nakon svake kalkulacije bruto marže dat je njen sažet prikaz i grafički prikaz strukture varijabilnih troškova.</t>
  </si>
  <si>
    <t>Kada se popune kalkulacije za sve one linije proizvodnje koje poljoprivrednik želi razmotriti u planu poslovanja,</t>
  </si>
  <si>
    <r>
      <t xml:space="preserve">Potrebno je uneti podatke </t>
    </r>
    <r>
      <rPr>
        <u/>
        <sz val="10"/>
        <rFont val="Arial"/>
        <family val="2"/>
        <charset val="238"/>
      </rPr>
      <t xml:space="preserve">samo za one kulture </t>
    </r>
    <r>
      <rPr>
        <sz val="10"/>
        <rFont val="Arial"/>
        <family val="2"/>
        <charset val="238"/>
      </rPr>
      <t>koje poljoprivrednik želi da razmotri u planu poslovanja.</t>
    </r>
  </si>
  <si>
    <t>prelazi se na radni list PLAN. Jedan deo podataka se automatski unosi iz prethodno popunjenih kartica.</t>
  </si>
  <si>
    <t xml:space="preserve">Podaci koji se unose u radne listove za 10 kultura (kukuruz, pšenica, ječam, …) koje su najčešće zastupljene na </t>
  </si>
  <si>
    <t xml:space="preserve">većini gazdinstava, trebaju biti rezultat pažljive procene elemenata očekivanih prihoda i troškova po 1 hektaru. </t>
  </si>
  <si>
    <t>Za svaku kulturu koja je odabrana za plan poslovanja treba uneti planirane radne sate po mesecima, za 1 hektar</t>
  </si>
  <si>
    <t>snage se ne unose, već samo radni sati poljoprivrednika, a ukoliko postoji i stalno zaposlene radne snage.</t>
  </si>
  <si>
    <t>Ukoliko poljoprivrednik planira da vrši usluge mehanizacijom drugim gazdinstvima potrebno je da u koloni "Usluge</t>
  </si>
  <si>
    <t>mehanizacijom" unese po mesecima prosečno vreme potrebno za vršenje radnih operacija po 1 hektaru. Na pri-</t>
  </si>
  <si>
    <t xml:space="preserve">mer usluga žetve se vrši u junu i zahteva 1,5 sati žetve i 2 sata transporta do otkupnog mesta, što je ukupno 3,5 </t>
  </si>
  <si>
    <t>useva. S obzirom na agrotehničke rokove po pojedinim mesecima potrebno je predvideti vreme koje je potrebno</t>
  </si>
  <si>
    <t>Kolona Ograničenja služi za unos podataka o mesečno raspoloživom fondu stalno angažovane radne snage na</t>
  </si>
  <si>
    <t>gazdinstvu. Nakon toga potrebno je ispod uneti ograničenja za plodored po planiranim kulturama. To podrazu-</t>
  </si>
  <si>
    <t>meva da se unesu maksimalne površine koje je moguće zasejati pojedinim kulturama poštujući plodored u odno-</t>
  </si>
  <si>
    <t>su na prethodnu proizvodnu godinu.</t>
  </si>
  <si>
    <t xml:space="preserve">sati za tu uslugu u junu. Takođe, potrebno je uneti tražene podatke o planiranim uslugama u Tabeli 1. </t>
  </si>
  <si>
    <t>Naredni korak je aktiviranje programa "Solver".</t>
  </si>
  <si>
    <t>potvrditi sa OK. U padajum meniju "Tools" pojaviće se novo polje "Solver".</t>
  </si>
  <si>
    <t xml:space="preserve">Kod MS Excel 2003 u padajućem meniju kartice "Tools" izabrati polje "Solver Add-in", a zatim </t>
  </si>
  <si>
    <t>·</t>
  </si>
  <si>
    <t>Kod MS Excel 2007 u "Office" dugmetu izabrati "Excel options". U novom prozoru sa leve strane</t>
  </si>
  <si>
    <t>odabrati "Add-in", a zatim sa desne strane odabrati "Solver Add-in" i potvrditi sa OK. U padajućem</t>
  </si>
  <si>
    <t>meniju "Data" u kartici "Analysis" pojaviće se novo polje "Solver".</t>
  </si>
  <si>
    <t xml:space="preserve">kojem su unapred podešeni svi parametri i ne treba ih menjati. Potrebno je samo kliknuti na polje "Solve" i u </t>
  </si>
  <si>
    <t>novom prozoru potvrditi sa OK.</t>
  </si>
  <si>
    <t xml:space="preserve">Rezultati modela se čitaju u koloni Korišćeno i u redu Odgovori. U koloni Korišćeno je prikazana očekivana </t>
  </si>
  <si>
    <t>ukupna bruto marža za dati plan poslovanja. Od prikazane sume treba oduzeti ukupne fiksne troškove na gazdi-</t>
  </si>
  <si>
    <t xml:space="preserve">nstvu da bi se utvrdio neto dohodak gazdinstva. </t>
  </si>
  <si>
    <t xml:space="preserve">Pored toga prikazan je i obim upotrebe poljoprivrednog zemljišta, potrebne radne snage na mesečnom nivou za </t>
  </si>
  <si>
    <t>predloženi plan setve i obim angažovanja na pružanju usluga mehanizacijom.</t>
  </si>
  <si>
    <t xml:space="preserve">Kada je program linearnog programiranja aktiviran, potrebno je kliknuti na "Solver". Pojaviće se novi prozor u </t>
  </si>
  <si>
    <t xml:space="preserve">Nakon promene bilo kog podatka u tabeli potrebno je ponovo pokrenuti program Solver u kartici Tools, odnosno </t>
  </si>
  <si>
    <t xml:space="preserve">Data. Parametri modela su već podešeni i ne treba  ih menjati. Kliknite na Solve i OK. </t>
  </si>
  <si>
    <t>Potencijalni problemi:</t>
  </si>
  <si>
    <t>dovoljno radne snage pa treba razmisliti o dodatnom angažovanju radnika i povećati fond sati u tom mesecu.</t>
  </si>
  <si>
    <t>Raspoloživi resursi na gazdinstvu</t>
  </si>
  <si>
    <t>Radna snaga - decembar*</t>
  </si>
  <si>
    <t>* U decembru je uneto radno vreme preračunato po ha za potrebe održavanja mehanizacije.</t>
  </si>
  <si>
    <t>U koloni korišćeno, nije iskorišćena sva površina poljoprivrednog zemljišta. Moguće je da u nekom mesecu nema</t>
  </si>
  <si>
    <t xml:space="preserve">Takođe, moguće je da je površina pojedinih kultura kod ograničenja zbog plodoreda usko postavljena. </t>
  </si>
  <si>
    <t>ponovo preuzmite dokument sa Interneta.</t>
  </si>
  <si>
    <r>
      <t xml:space="preserve">NAPOMENA: u </t>
    </r>
    <r>
      <rPr>
        <u/>
        <sz val="10"/>
        <rFont val="Arial"/>
        <family val="2"/>
        <charset val="238"/>
      </rPr>
      <t>popunjenjim ćelijama koje nisu obojene</t>
    </r>
    <r>
      <rPr>
        <sz val="10"/>
        <rFont val="Arial"/>
        <family val="2"/>
        <charset val="238"/>
      </rPr>
      <t xml:space="preserve"> ne sme se unositi drugi podatak jer model neće raditi ispravno. Ukoliko ste greškom obrisali neki podatak vratite se strelicom na prethodno stanje ili</t>
    </r>
  </si>
  <si>
    <t>Da li želite uključiti u plan useve?</t>
  </si>
  <si>
    <t>Za svaki input treba u koloni Broj ponavljanja uneti koliko je puta primenjen. Na primer, ukoliko je tretiranje</t>
  </si>
  <si>
    <t>glodara vršeno dva puta tada se unosi broj 2, a u kolonu količina unosi se količina inputa za samo 1 tretman.</t>
  </si>
  <si>
    <t>izborom Da ili Ne. Ukoliko je izbor Ne, kalkulacija te linije proizvodnje neće biti uključena u plan.</t>
  </si>
  <si>
    <t xml:space="preserve">Na početku, za svaki usev ponaosob treba u padajućem meniju izabrati da li želite da ga analizirate u planu </t>
  </si>
  <si>
    <t xml:space="preserve">za: pripremu, transport i izvršenje radnih operacija po 1 hektaru na mesečnom nivou. Radni sati sezonske radne </t>
  </si>
  <si>
    <t>Nakon svake unete izmene potrebno je ponovo pokrenuti Solver.</t>
  </si>
  <si>
    <t>Ukupna bruto marža</t>
  </si>
  <si>
    <t>Plan poslovanja poljoprivrednog gazdinstva - PPPG 1.2</t>
  </si>
  <si>
    <t>1. KUKURUZ</t>
  </si>
  <si>
    <t>Balansirane količine aktivnih mineralnih materija</t>
  </si>
  <si>
    <t>po principu uneto = odneto.</t>
  </si>
  <si>
    <t>N</t>
  </si>
  <si>
    <t>P</t>
  </si>
  <si>
    <t>K</t>
  </si>
  <si>
    <t>Odneto sa prinosom</t>
  </si>
  <si>
    <t xml:space="preserve"> Višak / manjak</t>
  </si>
  <si>
    <t>Odneto sa prinosom i žetvenim ostacima</t>
  </si>
  <si>
    <r>
      <t xml:space="preserve">Upisati količinu i cenu </t>
    </r>
    <r>
      <rPr>
        <b/>
        <sz val="10"/>
        <rFont val="Arial"/>
        <family val="2"/>
        <charset val="238"/>
      </rPr>
      <t>samo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ako</t>
    </r>
    <r>
      <rPr>
        <sz val="10"/>
        <rFont val="Arial"/>
        <family val="2"/>
        <charset val="238"/>
      </rPr>
      <t xml:space="preserve"> je kukuruzovina ODNETA sa njive</t>
    </r>
  </si>
  <si>
    <t>Stajnjak</t>
  </si>
  <si>
    <t>Uneti godinu korišćenja stajnjaka 1, 2 ili 3 u ćeliju E14</t>
  </si>
  <si>
    <t>NPK 16:16:16</t>
  </si>
  <si>
    <t>MAP 12:52:0</t>
  </si>
  <si>
    <t>UREA 46:0:0</t>
  </si>
  <si>
    <t>npk 10:10:10</t>
  </si>
  <si>
    <t>Uneti drugo đubrivo sa NPK sadržajem</t>
  </si>
  <si>
    <t>Tri puta izvršeno navodnjavanje</t>
  </si>
  <si>
    <t>Dezinsekcija i deratizacija</t>
  </si>
  <si>
    <t>IIIa</t>
  </si>
  <si>
    <t>BRUTO MARŽA sa balansiranim troškom aktivnih mineralnih materija</t>
  </si>
  <si>
    <r>
      <rPr>
        <b/>
        <sz val="12"/>
        <color theme="1"/>
        <rFont val="Calibri"/>
        <family val="2"/>
        <charset val="238"/>
        <scheme val="minor"/>
      </rPr>
      <t xml:space="preserve">MODEL 1 </t>
    </r>
    <r>
      <rPr>
        <sz val="12"/>
        <color theme="1"/>
        <rFont val="Calibri"/>
        <family val="2"/>
        <charset val="238"/>
        <scheme val="minor"/>
      </rPr>
      <t>- se odnosi samo na ZRNO (žetveni ostaci se zaoravaju)</t>
    </r>
  </si>
  <si>
    <r>
      <rPr>
        <b/>
        <sz val="12"/>
        <color theme="1"/>
        <rFont val="Calibri"/>
        <family val="2"/>
        <charset val="238"/>
        <scheme val="minor"/>
      </rPr>
      <t>MODEL 2</t>
    </r>
    <r>
      <rPr>
        <sz val="12"/>
        <color theme="1"/>
        <rFont val="Calibri"/>
        <family val="2"/>
        <charset val="238"/>
        <scheme val="minor"/>
      </rPr>
      <t xml:space="preserve"> - se odnosi  na ZRNO + ŽETVENI OSTACI</t>
    </r>
  </si>
  <si>
    <t>NPK 15:15:15</t>
  </si>
  <si>
    <t>Vrsta đubriva</t>
  </si>
  <si>
    <t>Uneta količina</t>
  </si>
  <si>
    <t>J.m.</t>
  </si>
  <si>
    <t>Struktura</t>
  </si>
  <si>
    <t>Ukupno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</si>
  <si>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</si>
  <si>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</si>
  <si>
    <t>NPK 6:12:24</t>
  </si>
  <si>
    <t>MAP 11:52:0</t>
  </si>
  <si>
    <t>KAN 27:0:0</t>
  </si>
  <si>
    <t>AN 33,5:0:0</t>
  </si>
  <si>
    <t>Stajnjak goveđi zgoreli</t>
  </si>
  <si>
    <t>Godina korišćenja</t>
  </si>
  <si>
    <t>1/2/3</t>
  </si>
  <si>
    <t>Prinos kukuruza</t>
  </si>
  <si>
    <t>ODNETE mineralne materije</t>
  </si>
  <si>
    <t>kg/t</t>
  </si>
  <si>
    <t>Višak/Manjak</t>
  </si>
  <si>
    <t>Učinjeni trošak</t>
  </si>
  <si>
    <t>Realni Trošak min.materija</t>
  </si>
  <si>
    <t>Vrednost min.mat za narednu sezonu</t>
  </si>
  <si>
    <t>2. PŠENICA</t>
  </si>
  <si>
    <t>2017/2018</t>
  </si>
  <si>
    <r>
      <t xml:space="preserve">Upisati količinu i cenu </t>
    </r>
    <r>
      <rPr>
        <b/>
        <sz val="10"/>
        <rFont val="Arial"/>
        <family val="2"/>
        <charset val="238"/>
      </rPr>
      <t>samo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ako</t>
    </r>
    <r>
      <rPr>
        <sz val="10"/>
        <rFont val="Arial"/>
        <family val="2"/>
        <charset val="238"/>
      </rPr>
      <t xml:space="preserve"> je slama ODNETA sa njive</t>
    </r>
  </si>
  <si>
    <t xml:space="preserve">b) </t>
  </si>
  <si>
    <t>Uskladištavanje i sl.</t>
  </si>
  <si>
    <t>Prinos pšenice</t>
  </si>
  <si>
    <t>a) Metmark</t>
  </si>
  <si>
    <t>b) Bumper</t>
  </si>
  <si>
    <t>c) Fury</t>
  </si>
  <si>
    <t>Prinos ječma</t>
  </si>
  <si>
    <t>3. JEČAM</t>
  </si>
  <si>
    <t>Radovi u njivi, uskladištavanje i sl.</t>
  </si>
  <si>
    <t>- N gubici</t>
  </si>
  <si>
    <t>+ N iz azotofiksacije</t>
  </si>
  <si>
    <t>Prinos soje</t>
  </si>
  <si>
    <t>4. SOJA</t>
  </si>
  <si>
    <t>Žetveni ostaci</t>
  </si>
  <si>
    <t>Preporučuje se upotreba đubriva sa sadržajem Sumpora</t>
  </si>
  <si>
    <t>Prinos suncokreta</t>
  </si>
  <si>
    <t>5. SUNCOKRET</t>
  </si>
  <si>
    <t>NPK 20:5:20</t>
  </si>
  <si>
    <t>Prinos šećerne repe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</si>
  <si>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uljane repice na 1 ha</t>
    </r>
  </si>
  <si>
    <t>Uljana repica</t>
  </si>
  <si>
    <t>NPK 8:16:24</t>
  </si>
  <si>
    <t>a) Lontrel 300</t>
  </si>
  <si>
    <t>b) Biscaya</t>
  </si>
  <si>
    <t xml:space="preserve">c) </t>
  </si>
  <si>
    <t>Rezime kalkulacije bruto marže proizvodnje uljane repice na 1 ha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</si>
  <si>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uljane repice</t>
    </r>
  </si>
  <si>
    <t>Prinos uljane repice</t>
  </si>
  <si>
    <t>7. ŠEĆERNA REPA</t>
  </si>
  <si>
    <t>6. ULJANA REPICA</t>
  </si>
  <si>
    <t>Š.Repa</t>
  </si>
  <si>
    <t>Ulj.Repica</t>
  </si>
  <si>
    <t>Cene mineralnog đubriva</t>
  </si>
  <si>
    <t>UREA 46%</t>
  </si>
  <si>
    <t>MAP 52:12</t>
  </si>
  <si>
    <t>OBAVEZNO upisati cenu</t>
  </si>
  <si>
    <t>Cena 1kg aktivne materije</t>
  </si>
  <si>
    <t>6.Uljana repica</t>
  </si>
  <si>
    <t>7.Šećerna repa</t>
  </si>
  <si>
    <t>Ograničenje u plodoredu - Ulj. Repica</t>
  </si>
  <si>
    <t>din/litar</t>
  </si>
  <si>
    <t xml:space="preserve">Dizel </t>
  </si>
  <si>
    <t xml:space="preserve"> - Ukoliko se u nenoj od ćelija N7:N18 pojavi crvena boja, tada treba razmisliti da li se ograničeni broj radnih sati u ćeliji (M7:M18) može uvećati sa dodatnom radnom snagom.</t>
  </si>
  <si>
    <t>Subotici i GIZ kancelarije u Srbiji na projektu GMO – free quality Soya from the Danube region.</t>
  </si>
  <si>
    <t>Ovaj model za izradu Plana poslovaja poljoprivrednog gazdinstva rezultat je saradnje Ekonomskog fakulteta u</t>
  </si>
  <si>
    <t>Ceo dokument se na kraju može odštampati na 19 stranica koje su unapred formatirane.</t>
  </si>
  <si>
    <t>Novi rezultati se mogu ponovo očitati u redu ODGOVORI i koloni KORIŠĆENO</t>
  </si>
  <si>
    <t>ODGOVORI predstavljaju optimalni plan setve u hektarima pojedinih useva.</t>
  </si>
  <si>
    <t xml:space="preserve">U najvećem broju slučajeva to je poljoprivrednik koji radi 12 meseci. Ako neko od članova porodice radi na primer još 6 meseci tada treba upisati 1,5 radnika </t>
  </si>
  <si>
    <t>Jedan put izvršeno navodnjavanje</t>
  </si>
</sst>
</file>

<file path=xl/styles.xml><?xml version="1.0" encoding="utf-8"?>
<styleSheet xmlns="http://schemas.openxmlformats.org/spreadsheetml/2006/main">
  <numFmts count="6">
    <numFmt numFmtId="164" formatCode="_-* #,##0.00\ _D_i_n_._-;\-* #,##0.00\ _D_i_n_._-;_-* &quot;-&quot;??\ _D_i_n_._-;_-@_-"/>
    <numFmt numFmtId="165" formatCode="#,##0.0"/>
    <numFmt numFmtId="166" formatCode="#,##0\ &quot;din.&quot;"/>
    <numFmt numFmtId="167" formatCode="#,##0.0\ &quot;Din/l&quot;"/>
    <numFmt numFmtId="168" formatCode="0.0%"/>
    <numFmt numFmtId="169" formatCode="0.0"/>
  </numFmts>
  <fonts count="3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0"/>
      <color theme="0"/>
      <name val="Arial"/>
      <family val="2"/>
    </font>
    <font>
      <b/>
      <sz val="11"/>
      <color theme="10"/>
      <name val="Arial"/>
      <family val="2"/>
    </font>
    <font>
      <b/>
      <sz val="11"/>
      <color theme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name val="Arial"/>
      <family val="2"/>
    </font>
    <font>
      <sz val="10"/>
      <name val="Symbol"/>
      <family val="1"/>
      <charset val="2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3" tint="-0.24997711111789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thick">
        <color rgb="FF333399"/>
      </bottom>
      <diagonal/>
    </border>
    <border>
      <left/>
      <right/>
      <top style="thick">
        <color rgb="FF333399"/>
      </top>
      <bottom/>
      <diagonal/>
    </border>
    <border>
      <left/>
      <right/>
      <top style="medium">
        <color rgb="FF3333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NumberFormat="1" applyFont="1" applyAlignment="1">
      <alignment horizontal="center"/>
    </xf>
    <xf numFmtId="0" fontId="3" fillId="0" borderId="2" xfId="0" applyFont="1" applyBorder="1"/>
    <xf numFmtId="3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justify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166" fontId="6" fillId="4" borderId="15" xfId="0" applyNumberFormat="1" applyFont="1" applyFill="1" applyBorder="1"/>
    <xf numFmtId="0" fontId="6" fillId="0" borderId="0" xfId="0" applyFont="1"/>
    <xf numFmtId="1" fontId="3" fillId="0" borderId="0" xfId="0" applyNumberFormat="1" applyFont="1"/>
    <xf numFmtId="0" fontId="6" fillId="0" borderId="13" xfId="0" applyFont="1" applyBorder="1" applyAlignment="1">
      <alignment horizontal="center"/>
    </xf>
    <xf numFmtId="0" fontId="6" fillId="0" borderId="0" xfId="0" applyFont="1" applyFill="1" applyAlignment="1"/>
    <xf numFmtId="1" fontId="6" fillId="0" borderId="13" xfId="0" applyNumberFormat="1" applyFont="1" applyFill="1" applyBorder="1" applyAlignment="1">
      <alignment wrapText="1"/>
    </xf>
    <xf numFmtId="1" fontId="6" fillId="0" borderId="0" xfId="0" applyNumberFormat="1" applyFont="1" applyFill="1" applyAlignment="1">
      <alignment wrapText="1"/>
    </xf>
    <xf numFmtId="0" fontId="6" fillId="0" borderId="2" xfId="0" applyFont="1" applyBorder="1"/>
    <xf numFmtId="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1" fontId="3" fillId="0" borderId="0" xfId="0" applyNumberFormat="1" applyFont="1" applyAlignment="1">
      <alignment horizontal="center"/>
    </xf>
    <xf numFmtId="166" fontId="3" fillId="0" borderId="0" xfId="0" applyNumberFormat="1" applyFont="1" applyBorder="1"/>
    <xf numFmtId="0" fontId="3" fillId="4" borderId="14" xfId="0" applyNumberFormat="1" applyFont="1" applyFill="1" applyBorder="1" applyAlignment="1">
      <alignment horizontal="center"/>
    </xf>
    <xf numFmtId="0" fontId="6" fillId="4" borderId="14" xfId="0" applyFont="1" applyFill="1" applyBorder="1"/>
    <xf numFmtId="1" fontId="3" fillId="4" borderId="14" xfId="0" applyNumberFormat="1" applyFont="1" applyFill="1" applyBorder="1" applyAlignment="1">
      <alignment horizontal="center"/>
    </xf>
    <xf numFmtId="3" fontId="3" fillId="4" borderId="14" xfId="0" applyNumberFormat="1" applyFont="1" applyFill="1" applyBorder="1"/>
    <xf numFmtId="0" fontId="3" fillId="4" borderId="14" xfId="0" applyFont="1" applyFill="1" applyBorder="1"/>
    <xf numFmtId="166" fontId="6" fillId="4" borderId="14" xfId="0" applyNumberFormat="1" applyFont="1" applyFill="1" applyBorder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3" fillId="0" borderId="0" xfId="0" applyNumberFormat="1" applyFont="1"/>
    <xf numFmtId="165" fontId="5" fillId="3" borderId="0" xfId="0" applyNumberFormat="1" applyFont="1" applyFill="1"/>
    <xf numFmtId="3" fontId="3" fillId="3" borderId="0" xfId="0" applyNumberFormat="1" applyFont="1" applyFill="1"/>
    <xf numFmtId="0" fontId="3" fillId="3" borderId="0" xfId="0" applyFont="1" applyFill="1" applyAlignment="1">
      <alignment horizontal="left"/>
    </xf>
    <xf numFmtId="0" fontId="3" fillId="0" borderId="0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NumberFormat="1" applyFont="1" applyFill="1" applyBorder="1" applyAlignment="1">
      <alignment horizontal="center"/>
    </xf>
    <xf numFmtId="3" fontId="6" fillId="4" borderId="14" xfId="0" applyNumberFormat="1" applyFont="1" applyFill="1" applyBorder="1" applyAlignment="1"/>
    <xf numFmtId="0" fontId="6" fillId="0" borderId="6" xfId="0" applyFont="1" applyBorder="1"/>
    <xf numFmtId="0" fontId="3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8" fillId="0" borderId="0" xfId="2" applyNumberFormat="1" applyFont="1" applyFill="1" applyBorder="1" applyAlignment="1"/>
    <xf numFmtId="3" fontId="6" fillId="0" borderId="0" xfId="0" applyNumberFormat="1" applyFont="1" applyFill="1" applyBorder="1"/>
    <xf numFmtId="0" fontId="1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3" borderId="0" xfId="0" applyFont="1" applyFill="1"/>
    <xf numFmtId="0" fontId="3" fillId="0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>
      <alignment horizontal="left" indent="4"/>
    </xf>
    <xf numFmtId="0" fontId="6" fillId="4" borderId="15" xfId="0" applyFont="1" applyFill="1" applyBorder="1" applyAlignment="1">
      <alignment horizontal="center"/>
    </xf>
    <xf numFmtId="0" fontId="6" fillId="4" borderId="15" xfId="0" applyFont="1" applyFill="1" applyBorder="1"/>
    <xf numFmtId="0" fontId="3" fillId="4" borderId="15" xfId="0" applyFont="1" applyFill="1" applyBorder="1"/>
    <xf numFmtId="3" fontId="3" fillId="4" borderId="15" xfId="0" applyNumberFormat="1" applyFont="1" applyFill="1" applyBorder="1"/>
    <xf numFmtId="0" fontId="6" fillId="0" borderId="16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3" fontId="6" fillId="4" borderId="15" xfId="0" applyNumberFormat="1" applyFont="1" applyFill="1" applyBorder="1"/>
    <xf numFmtId="3" fontId="8" fillId="0" borderId="0" xfId="0" applyNumberFormat="1" applyFont="1" applyBorder="1" applyAlignment="1"/>
    <xf numFmtId="0" fontId="6" fillId="0" borderId="7" xfId="0" applyFont="1" applyBorder="1"/>
    <xf numFmtId="3" fontId="8" fillId="0" borderId="1" xfId="0" applyNumberFormat="1" applyFont="1" applyBorder="1" applyAlignment="1"/>
    <xf numFmtId="0" fontId="4" fillId="2" borderId="0" xfId="0" applyFont="1" applyFill="1" applyAlignment="1"/>
    <xf numFmtId="0" fontId="9" fillId="0" borderId="0" xfId="0" applyFont="1"/>
    <xf numFmtId="3" fontId="3" fillId="3" borderId="2" xfId="0" applyNumberFormat="1" applyFont="1" applyFill="1" applyBorder="1"/>
    <xf numFmtId="3" fontId="3" fillId="0" borderId="0" xfId="0" applyNumberFormat="1" applyFont="1" applyBorder="1"/>
    <xf numFmtId="3" fontId="3" fillId="0" borderId="9" xfId="0" applyNumberFormat="1" applyFont="1" applyBorder="1"/>
    <xf numFmtId="3" fontId="3" fillId="0" borderId="1" xfId="0" applyNumberFormat="1" applyFont="1" applyBorder="1"/>
    <xf numFmtId="3" fontId="3" fillId="0" borderId="12" xfId="0" applyNumberFormat="1" applyFont="1" applyBorder="1"/>
    <xf numFmtId="3" fontId="3" fillId="0" borderId="0" xfId="0" applyNumberFormat="1" applyFont="1" applyFill="1" applyBorder="1"/>
    <xf numFmtId="0" fontId="6" fillId="0" borderId="13" xfId="0" applyFont="1" applyBorder="1"/>
    <xf numFmtId="0" fontId="3" fillId="0" borderId="13" xfId="0" applyFont="1" applyBorder="1"/>
    <xf numFmtId="3" fontId="3" fillId="0" borderId="9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Border="1"/>
    <xf numFmtId="165" fontId="8" fillId="0" borderId="9" xfId="0" applyNumberFormat="1" applyFont="1" applyBorder="1"/>
    <xf numFmtId="3" fontId="3" fillId="0" borderId="1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6" fillId="3" borderId="13" xfId="0" applyNumberFormat="1" applyFont="1" applyFill="1" applyBorder="1"/>
    <xf numFmtId="165" fontId="3" fillId="3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5" fillId="3" borderId="0" xfId="0" applyNumberFormat="1" applyFont="1" applyFill="1"/>
    <xf numFmtId="4" fontId="3" fillId="3" borderId="0" xfId="0" applyNumberFormat="1" applyFont="1" applyFill="1"/>
    <xf numFmtId="0" fontId="3" fillId="0" borderId="2" xfId="0" applyFont="1" applyFill="1" applyBorder="1"/>
    <xf numFmtId="165" fontId="3" fillId="3" borderId="2" xfId="0" applyNumberFormat="1" applyFont="1" applyFill="1" applyBorder="1"/>
    <xf numFmtId="49" fontId="1" fillId="0" borderId="0" xfId="0" applyNumberFormat="1" applyFont="1" applyFill="1" applyAlignment="1">
      <alignment wrapText="1"/>
    </xf>
    <xf numFmtId="9" fontId="3" fillId="3" borderId="8" xfId="0" applyNumberFormat="1" applyFont="1" applyFill="1" applyBorder="1" applyAlignment="1">
      <alignment horizontal="center"/>
    </xf>
    <xf numFmtId="9" fontId="3" fillId="3" borderId="11" xfId="0" applyNumberFormat="1" applyFont="1" applyFill="1" applyBorder="1" applyAlignment="1">
      <alignment horizontal="center"/>
    </xf>
    <xf numFmtId="9" fontId="3" fillId="3" borderId="0" xfId="0" applyNumberFormat="1" applyFont="1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/>
    </xf>
    <xf numFmtId="0" fontId="1" fillId="5" borderId="0" xfId="0" applyFont="1" applyFill="1"/>
    <xf numFmtId="0" fontId="3" fillId="0" borderId="0" xfId="0" applyFont="1" applyFill="1" applyAlignment="1">
      <alignment horizontal="left" indent="2"/>
    </xf>
    <xf numFmtId="1" fontId="3" fillId="0" borderId="0" xfId="0" applyNumberFormat="1" applyFont="1" applyFill="1"/>
    <xf numFmtId="0" fontId="6" fillId="4" borderId="17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indent="1"/>
    </xf>
    <xf numFmtId="0" fontId="13" fillId="0" borderId="0" xfId="3" applyFont="1" applyAlignment="1" applyProtection="1"/>
    <xf numFmtId="49" fontId="3" fillId="0" borderId="0" xfId="0" applyNumberFormat="1" applyFont="1"/>
    <xf numFmtId="0" fontId="14" fillId="0" borderId="0" xfId="0" applyFont="1"/>
    <xf numFmtId="0" fontId="15" fillId="0" borderId="0" xfId="3" applyFont="1" applyAlignment="1" applyProtection="1"/>
    <xf numFmtId="0" fontId="1" fillId="3" borderId="0" xfId="0" applyFont="1" applyFill="1"/>
    <xf numFmtId="0" fontId="7" fillId="0" borderId="0" xfId="3" applyFont="1" applyAlignment="1" applyProtection="1">
      <alignment horizontal="justify"/>
    </xf>
    <xf numFmtId="0" fontId="1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NumberFormat="1" applyFont="1"/>
    <xf numFmtId="0" fontId="1" fillId="2" borderId="0" xfId="0" applyFont="1" applyFill="1" applyAlignment="1"/>
    <xf numFmtId="0" fontId="16" fillId="0" borderId="0" xfId="0" applyFont="1"/>
    <xf numFmtId="0" fontId="10" fillId="0" borderId="0" xfId="0" applyFont="1"/>
    <xf numFmtId="3" fontId="4" fillId="3" borderId="0" xfId="0" applyNumberFormat="1" applyFont="1" applyFill="1"/>
    <xf numFmtId="0" fontId="0" fillId="0" borderId="18" xfId="0" applyBorder="1" applyAlignment="1">
      <alignment vertical="justify"/>
    </xf>
    <xf numFmtId="0" fontId="4" fillId="0" borderId="18" xfId="0" applyFont="1" applyBorder="1" applyAlignment="1">
      <alignment horizontal="center" vertical="center" wrapText="1"/>
    </xf>
    <xf numFmtId="0" fontId="1" fillId="0" borderId="18" xfId="0" applyFont="1" applyBorder="1"/>
    <xf numFmtId="3" fontId="0" fillId="0" borderId="18" xfId="0" applyNumberFormat="1" applyBorder="1"/>
    <xf numFmtId="0" fontId="1" fillId="3" borderId="18" xfId="0" applyFont="1" applyFill="1" applyBorder="1"/>
    <xf numFmtId="3" fontId="0" fillId="3" borderId="18" xfId="0" applyNumberFormat="1" applyFill="1" applyBorder="1"/>
    <xf numFmtId="3" fontId="0" fillId="0" borderId="18" xfId="0" applyNumberFormat="1" applyFill="1" applyBorder="1"/>
    <xf numFmtId="49" fontId="2" fillId="0" borderId="18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/>
    <xf numFmtId="165" fontId="0" fillId="3" borderId="18" xfId="0" applyNumberFormat="1" applyFill="1" applyBorder="1"/>
    <xf numFmtId="0" fontId="18" fillId="0" borderId="0" xfId="3" applyFont="1" applyAlignment="1" applyProtection="1"/>
    <xf numFmtId="0" fontId="19" fillId="0" borderId="0" xfId="3" applyFont="1" applyAlignment="1" applyProtection="1"/>
    <xf numFmtId="3" fontId="17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18" xfId="0" applyFont="1" applyBorder="1" applyAlignment="1">
      <alignment horizontal="justify" vertical="justify" wrapText="1"/>
    </xf>
    <xf numFmtId="0" fontId="1" fillId="0" borderId="0" xfId="0" applyFont="1" applyAlignment="1">
      <alignment horizontal="center"/>
    </xf>
    <xf numFmtId="0" fontId="21" fillId="0" borderId="0" xfId="0" applyFont="1"/>
    <xf numFmtId="3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/>
    <xf numFmtId="167" fontId="4" fillId="0" borderId="0" xfId="0" applyNumberFormat="1" applyFont="1"/>
    <xf numFmtId="3" fontId="22" fillId="0" borderId="18" xfId="0" applyNumberFormat="1" applyFont="1" applyBorder="1"/>
    <xf numFmtId="49" fontId="22" fillId="0" borderId="18" xfId="0" applyNumberFormat="1" applyFont="1" applyBorder="1"/>
    <xf numFmtId="0" fontId="3" fillId="0" borderId="18" xfId="0" applyFont="1" applyBorder="1"/>
    <xf numFmtId="3" fontId="3" fillId="0" borderId="18" xfId="0" applyNumberFormat="1" applyFont="1" applyBorder="1"/>
    <xf numFmtId="3" fontId="3" fillId="0" borderId="18" xfId="0" applyNumberFormat="1" applyFont="1" applyFill="1" applyBorder="1"/>
    <xf numFmtId="49" fontId="3" fillId="0" borderId="1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" fontId="4" fillId="0" borderId="0" xfId="0" applyNumberFormat="1" applyFont="1" applyAlignment="1">
      <alignment horizontal="center"/>
    </xf>
    <xf numFmtId="4" fontId="0" fillId="0" borderId="18" xfId="0" applyNumberFormat="1" applyBorder="1"/>
    <xf numFmtId="0" fontId="0" fillId="0" borderId="18" xfId="0" applyBorder="1"/>
    <xf numFmtId="0" fontId="0" fillId="0" borderId="18" xfId="0" applyFill="1" applyBorder="1"/>
    <xf numFmtId="4" fontId="20" fillId="0" borderId="1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Border="1"/>
    <xf numFmtId="165" fontId="4" fillId="3" borderId="0" xfId="0" applyNumberFormat="1" applyFont="1" applyFill="1"/>
    <xf numFmtId="0" fontId="3" fillId="6" borderId="0" xfId="0" applyFont="1" applyFill="1"/>
    <xf numFmtId="0" fontId="3" fillId="0" borderId="12" xfId="0" applyFont="1" applyBorder="1"/>
    <xf numFmtId="0" fontId="6" fillId="0" borderId="1" xfId="0" applyFont="1" applyBorder="1" applyAlignment="1">
      <alignment horizontal="center"/>
    </xf>
    <xf numFmtId="0" fontId="3" fillId="0" borderId="19" xfId="0" applyFont="1" applyBorder="1"/>
    <xf numFmtId="1" fontId="3" fillId="0" borderId="20" xfId="0" applyNumberFormat="1" applyFont="1" applyBorder="1"/>
    <xf numFmtId="0" fontId="6" fillId="0" borderId="7" xfId="0" applyFont="1" applyBorder="1" applyAlignment="1">
      <alignment wrapText="1"/>
    </xf>
    <xf numFmtId="1" fontId="6" fillId="0" borderId="6" xfId="0" applyNumberFormat="1" applyFont="1" applyBorder="1"/>
    <xf numFmtId="0" fontId="3" fillId="0" borderId="2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1" fontId="3" fillId="3" borderId="0" xfId="0" applyNumberFormat="1" applyFont="1" applyFill="1" applyAlignment="1">
      <alignment horizontal="center"/>
    </xf>
    <xf numFmtId="0" fontId="6" fillId="0" borderId="18" xfId="0" applyFont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1" fillId="2" borderId="18" xfId="0" applyFont="1" applyFill="1" applyBorder="1"/>
    <xf numFmtId="9" fontId="3" fillId="3" borderId="18" xfId="0" applyNumberFormat="1" applyFont="1" applyFill="1" applyBorder="1"/>
    <xf numFmtId="0" fontId="25" fillId="7" borderId="0" xfId="0" applyFont="1" applyFill="1"/>
    <xf numFmtId="0" fontId="0" fillId="7" borderId="0" xfId="0" applyFill="1"/>
    <xf numFmtId="0" fontId="25" fillId="8" borderId="0" xfId="0" applyFont="1" applyFill="1"/>
    <xf numFmtId="0" fontId="0" fillId="8" borderId="0" xfId="0" applyFill="1"/>
    <xf numFmtId="0" fontId="0" fillId="0" borderId="18" xfId="0" applyBorder="1" applyAlignment="1">
      <alignment horizontal="left" vertical="center"/>
    </xf>
    <xf numFmtId="9" fontId="0" fillId="0" borderId="18" xfId="0" applyNumberForma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Continuous"/>
    </xf>
    <xf numFmtId="0" fontId="24" fillId="0" borderId="0" xfId="0" applyFont="1"/>
    <xf numFmtId="3" fontId="0" fillId="3" borderId="0" xfId="0" applyNumberFormat="1" applyFill="1"/>
    <xf numFmtId="9" fontId="0" fillId="3" borderId="0" xfId="0" applyNumberFormat="1" applyFill="1" applyAlignment="1">
      <alignment horizontal="right"/>
    </xf>
    <xf numFmtId="3" fontId="0" fillId="0" borderId="0" xfId="0" applyNumberFormat="1"/>
    <xf numFmtId="0" fontId="0" fillId="0" borderId="18" xfId="0" applyFill="1" applyBorder="1" applyAlignment="1">
      <alignment horizontal="left" vertical="center"/>
    </xf>
    <xf numFmtId="9" fontId="0" fillId="0" borderId="18" xfId="0" applyNumberFormat="1" applyFill="1" applyBorder="1" applyAlignment="1">
      <alignment horizontal="center" vertical="center"/>
    </xf>
    <xf numFmtId="168" fontId="0" fillId="0" borderId="18" xfId="0" applyNumberFormat="1" applyFill="1" applyBorder="1" applyAlignment="1">
      <alignment horizontal="center" vertical="center"/>
    </xf>
    <xf numFmtId="9" fontId="0" fillId="3" borderId="0" xfId="0" applyNumberFormat="1" applyFill="1"/>
    <xf numFmtId="10" fontId="0" fillId="3" borderId="0" xfId="0" applyNumberFormat="1" applyFill="1"/>
    <xf numFmtId="168" fontId="0" fillId="3" borderId="0" xfId="0" applyNumberFormat="1" applyFill="1"/>
    <xf numFmtId="1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165" fontId="0" fillId="0" borderId="0" xfId="0" applyNumberFormat="1" applyAlignment="1">
      <alignment horizontal="right"/>
    </xf>
    <xf numFmtId="165" fontId="0" fillId="0" borderId="0" xfId="0" applyNumberFormat="1" applyFill="1"/>
    <xf numFmtId="0" fontId="0" fillId="9" borderId="0" xfId="0" applyFill="1"/>
    <xf numFmtId="49" fontId="24" fillId="10" borderId="0" xfId="0" applyNumberFormat="1" applyFont="1" applyFill="1"/>
    <xf numFmtId="0" fontId="24" fillId="10" borderId="0" xfId="0" applyFont="1" applyFill="1"/>
    <xf numFmtId="169" fontId="24" fillId="10" borderId="0" xfId="0" applyNumberFormat="1" applyFont="1" applyFill="1"/>
    <xf numFmtId="169" fontId="24" fillId="10" borderId="23" xfId="0" applyNumberFormat="1" applyFont="1" applyFill="1" applyBorder="1"/>
    <xf numFmtId="0" fontId="24" fillId="10" borderId="23" xfId="0" applyFont="1" applyFill="1" applyBorder="1"/>
    <xf numFmtId="2" fontId="0" fillId="10" borderId="0" xfId="0" applyNumberFormat="1" applyFill="1"/>
    <xf numFmtId="2" fontId="0" fillId="0" borderId="0" xfId="0" applyNumberFormat="1"/>
    <xf numFmtId="3" fontId="24" fillId="10" borderId="0" xfId="0" applyNumberFormat="1" applyFont="1" applyFill="1"/>
    <xf numFmtId="0" fontId="26" fillId="0" borderId="0" xfId="0" applyFont="1"/>
    <xf numFmtId="3" fontId="26" fillId="10" borderId="0" xfId="0" applyNumberFormat="1" applyFont="1" applyFill="1"/>
    <xf numFmtId="0" fontId="24" fillId="0" borderId="0" xfId="0" applyFont="1" applyAlignment="1">
      <alignment wrapText="1"/>
    </xf>
    <xf numFmtId="3" fontId="24" fillId="0" borderId="0" xfId="0" applyNumberFormat="1" applyFont="1"/>
    <xf numFmtId="1" fontId="6" fillId="0" borderId="22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" fontId="6" fillId="0" borderId="20" xfId="0" applyNumberFormat="1" applyFont="1" applyBorder="1"/>
    <xf numFmtId="165" fontId="3" fillId="3" borderId="2" xfId="1" applyNumberFormat="1" applyFont="1" applyFill="1" applyBorder="1" applyAlignment="1"/>
    <xf numFmtId="165" fontId="3" fillId="3" borderId="0" xfId="0" applyNumberFormat="1" applyFont="1" applyFill="1" applyAlignment="1"/>
    <xf numFmtId="0" fontId="6" fillId="0" borderId="0" xfId="0" applyFont="1" applyFill="1"/>
    <xf numFmtId="1" fontId="3" fillId="0" borderId="0" xfId="0" applyNumberFormat="1" applyFont="1" applyAlignment="1">
      <alignment horizontal="right"/>
    </xf>
    <xf numFmtId="165" fontId="3" fillId="3" borderId="2" xfId="1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9" fontId="0" fillId="0" borderId="0" xfId="0" applyNumberFormat="1" applyFill="1"/>
    <xf numFmtId="169" fontId="0" fillId="3" borderId="0" xfId="0" applyNumberFormat="1" applyFill="1"/>
    <xf numFmtId="0" fontId="4" fillId="0" borderId="0" xfId="0" applyFont="1" applyFill="1" applyAlignment="1">
      <alignment horizontal="left" indent="6"/>
    </xf>
    <xf numFmtId="0" fontId="16" fillId="0" borderId="0" xfId="0" applyFont="1" applyAlignment="1">
      <alignment horizontal="left" indent="4"/>
    </xf>
    <xf numFmtId="0" fontId="16" fillId="0" borderId="0" xfId="0" applyFont="1" applyAlignment="1">
      <alignment horizontal="left" indent="7"/>
    </xf>
    <xf numFmtId="0" fontId="0" fillId="5" borderId="0" xfId="0" applyFill="1"/>
    <xf numFmtId="2" fontId="0" fillId="0" borderId="0" xfId="0" applyNumberFormat="1" applyFill="1" applyAlignment="1">
      <alignment horizontal="left" indent="2"/>
    </xf>
    <xf numFmtId="2" fontId="0" fillId="0" borderId="0" xfId="0" applyNumberFormat="1" applyFill="1"/>
    <xf numFmtId="2" fontId="0" fillId="10" borderId="0" xfId="0" applyNumberFormat="1" applyFill="1" applyAlignment="1">
      <alignment horizontal="left" indent="2"/>
    </xf>
    <xf numFmtId="4" fontId="0" fillId="0" borderId="18" xfId="0" applyNumberFormat="1" applyFill="1" applyBorder="1"/>
    <xf numFmtId="0" fontId="0" fillId="0" borderId="0" xfId="0" applyFill="1"/>
    <xf numFmtId="0" fontId="4" fillId="0" borderId="0" xfId="0" applyFont="1" applyAlignment="1">
      <alignment horizontal="left" indent="6"/>
    </xf>
    <xf numFmtId="0" fontId="30" fillId="0" borderId="0" xfId="0" applyFont="1" applyAlignment="1">
      <alignment horizontal="left" indent="4"/>
    </xf>
    <xf numFmtId="3" fontId="22" fillId="11" borderId="18" xfId="0" applyNumberFormat="1" applyFont="1" applyFill="1" applyBorder="1"/>
    <xf numFmtId="0" fontId="22" fillId="11" borderId="18" xfId="0" applyFont="1" applyFill="1" applyBorder="1"/>
    <xf numFmtId="3" fontId="3" fillId="3" borderId="0" xfId="0" applyNumberFormat="1" applyFont="1" applyFill="1" applyProtection="1"/>
  </cellXfs>
  <cellStyles count="4">
    <cellStyle name="Comma" xfId="1" builtinId="3"/>
    <cellStyle name="Hyperlink" xfId="3" builtinId="8"/>
    <cellStyle name="Normal" xfId="0" builtinId="0"/>
    <cellStyle name="Normal_Crop Margins" xfId="2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  <color rgb="FFC0C0C0"/>
      <color rgb="FFB2B2B2"/>
      <color rgb="FFFFCC66"/>
      <color rgb="FFCCECFF"/>
      <color rgb="FFCCCCFF"/>
      <color rgb="FF333399"/>
      <color rgb="FF8275FF"/>
      <color rgb="FF6C5DFF"/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 sz="1400"/>
            </a:pPr>
            <a:r>
              <a:rPr lang="en-US" sz="1400"/>
              <a:t>Bruto marže po hektaru</a:t>
            </a:r>
          </a:p>
        </c:rich>
      </c:tx>
      <c:layout>
        <c:manualLayout>
          <c:xMode val="edge"/>
          <c:yMode val="edge"/>
          <c:x val="0.33342931943503051"/>
          <c:y val="7.936507936507941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050917611906699"/>
          <c:y val="0.10636931253158573"/>
          <c:w val="0.7606018838288584"/>
          <c:h val="0.6323300212473435"/>
        </c:manualLayout>
      </c:layout>
      <c:barChart>
        <c:barDir val="col"/>
        <c:grouping val="clustered"/>
        <c:ser>
          <c:idx val="0"/>
          <c:order val="0"/>
          <c:cat>
            <c:strRef>
              <c:f>Rezime!$C$5:$C$11</c:f>
              <c:strCache>
                <c:ptCount val="7"/>
                <c:pt idx="0">
                  <c:v>Kukuruz</c:v>
                </c:pt>
                <c:pt idx="1">
                  <c:v>Pšenica</c:v>
                </c:pt>
                <c:pt idx="2">
                  <c:v>Ječam</c:v>
                </c:pt>
                <c:pt idx="3">
                  <c:v>Soja</c:v>
                </c:pt>
                <c:pt idx="4">
                  <c:v>Suncokret</c:v>
                </c:pt>
                <c:pt idx="5">
                  <c:v>Uljana repica</c:v>
                </c:pt>
                <c:pt idx="6">
                  <c:v>Šećerna repa</c:v>
                </c:pt>
              </c:strCache>
            </c:strRef>
          </c:cat>
          <c:val>
            <c:numRef>
              <c:f>Rezime!$H$5:$H$11</c:f>
              <c:numCache>
                <c:formatCode>#,##0</c:formatCode>
                <c:ptCount val="7"/>
                <c:pt idx="0">
                  <c:v>77886.808307692307</c:v>
                </c:pt>
                <c:pt idx="1">
                  <c:v>49684.584722408021</c:v>
                </c:pt>
                <c:pt idx="2">
                  <c:v>55685.430535117062</c:v>
                </c:pt>
                <c:pt idx="3">
                  <c:v>83068.68765886288</c:v>
                </c:pt>
                <c:pt idx="4">
                  <c:v>66660.296020066904</c:v>
                </c:pt>
                <c:pt idx="5">
                  <c:v>77842.820066889617</c:v>
                </c:pt>
                <c:pt idx="6">
                  <c:v>118597.35284280936</c:v>
                </c:pt>
              </c:numCache>
            </c:numRef>
          </c:val>
        </c:ser>
        <c:axId val="124619392"/>
        <c:axId val="124621184"/>
      </c:barChart>
      <c:catAx>
        <c:axId val="1246193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sr-Latn-CS" sz="1000"/>
            </a:pPr>
            <a:endParaRPr lang="en-US"/>
          </a:p>
        </c:txPr>
        <c:crossAx val="124621184"/>
        <c:crosses val="autoZero"/>
        <c:auto val="1"/>
        <c:lblAlgn val="ctr"/>
        <c:lblOffset val="100"/>
      </c:catAx>
      <c:valAx>
        <c:axId val="1246211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sr-Latn-CS"/>
                </a:pPr>
                <a:r>
                  <a:rPr lang="sr-Latn-CS"/>
                  <a:t>Din/ha</a:t>
                </a:r>
              </a:p>
            </c:rich>
          </c:tx>
          <c:layout>
            <c:manualLayout>
              <c:xMode val="edge"/>
              <c:yMode val="edge"/>
              <c:x val="1.8932224115260503E-2"/>
              <c:y val="0.34718899268026826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sr-Latn-CS"/>
            </a:pPr>
            <a:endParaRPr lang="en-US"/>
          </a:p>
        </c:txPr>
        <c:crossAx val="124619392"/>
        <c:crosses val="autoZero"/>
        <c:crossBetween val="between"/>
      </c:valAx>
    </c:plotArea>
    <c:plotVisOnly val="1"/>
  </c:chart>
  <c:spPr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kukuruza</a:t>
            </a:r>
          </a:p>
        </c:rich>
      </c:tx>
      <c:layout>
        <c:manualLayout>
          <c:xMode val="edge"/>
          <c:yMode val="edge"/>
          <c:x val="0.12859226141543048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5186893464803506"/>
          <c:y val="0.15710917995006721"/>
          <c:w val="0.58506217004024652"/>
          <c:h val="0.74976274352460504"/>
        </c:manualLayout>
      </c:layout>
      <c:pieChart>
        <c:varyColors val="1"/>
        <c:ser>
          <c:idx val="0"/>
          <c:order val="0"/>
          <c:dLbls>
            <c:dLbl>
              <c:idx val="5"/>
              <c:layout>
                <c:manualLayout>
                  <c:x val="-0.10781161529887318"/>
                  <c:y val="6.315381179021939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5.0397218549682904E-2"/>
                  <c:y val="-3.7537617444976815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6292904340141793"/>
                  <c:y val="5.387386124235179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'1.Kukuruz'!$C$57:$C$66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'1.Kukuruz'!$F$57:$F$66</c:f>
              <c:numCache>
                <c:formatCode>#,##0</c:formatCode>
                <c:ptCount val="10"/>
                <c:pt idx="0">
                  <c:v>8880</c:v>
                </c:pt>
                <c:pt idx="1">
                  <c:v>20300</c:v>
                </c:pt>
                <c:pt idx="2">
                  <c:v>4500</c:v>
                </c:pt>
                <c:pt idx="3">
                  <c:v>6525</c:v>
                </c:pt>
                <c:pt idx="4">
                  <c:v>0</c:v>
                </c:pt>
                <c:pt idx="5">
                  <c:v>0</c:v>
                </c:pt>
                <c:pt idx="6">
                  <c:v>20000</c:v>
                </c:pt>
                <c:pt idx="7">
                  <c:v>4500</c:v>
                </c:pt>
                <c:pt idx="8">
                  <c:v>9000</c:v>
                </c:pt>
                <c:pt idx="9">
                  <c:v>2500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pšenice</a:t>
            </a:r>
            <a:endParaRPr lang="en-US" sz="1400"/>
          </a:p>
        </c:rich>
      </c:tx>
      <c:layout>
        <c:manualLayout>
          <c:xMode val="edge"/>
          <c:yMode val="edge"/>
          <c:x val="0.13068272628318342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3904254708784844"/>
          <c:y val="0.18340387084965334"/>
          <c:w val="0.52336684944456258"/>
          <c:h val="0.74601991212261964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2.8533705557978652E-2"/>
                  <c:y val="8.3230485226111501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2659557149145109"/>
                  <c:y val="-9.8374873292023744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1133383017744675"/>
                  <c:y val="3.4898410845320076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'2.Pšenica'!$C$56:$C$65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'2.Pšenica'!$F$56:$F$65</c:f>
              <c:numCache>
                <c:formatCode>#,##0</c:formatCode>
                <c:ptCount val="10"/>
                <c:pt idx="0">
                  <c:v>10000</c:v>
                </c:pt>
                <c:pt idx="1">
                  <c:v>23650</c:v>
                </c:pt>
                <c:pt idx="2">
                  <c:v>200</c:v>
                </c:pt>
                <c:pt idx="3">
                  <c:v>0</c:v>
                </c:pt>
                <c:pt idx="4">
                  <c:v>4350</c:v>
                </c:pt>
                <c:pt idx="5">
                  <c:v>432.69230769230768</c:v>
                </c:pt>
                <c:pt idx="6">
                  <c:v>23200</c:v>
                </c:pt>
                <c:pt idx="7">
                  <c:v>750</c:v>
                </c:pt>
                <c:pt idx="8">
                  <c:v>5000</c:v>
                </c:pt>
                <c:pt idx="9">
                  <c:v>2000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ječma</a:t>
            </a:r>
            <a:endParaRPr lang="en-US" sz="1400"/>
          </a:p>
        </c:rich>
      </c:tx>
      <c:layout>
        <c:manualLayout>
          <c:xMode val="edge"/>
          <c:yMode val="edge"/>
          <c:x val="0.13068272628318331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3904254708784844"/>
          <c:y val="0.18340387084965334"/>
          <c:w val="0.52336684944456258"/>
          <c:h val="0.74601991212261964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2.8533705557978652E-2"/>
                  <c:y val="8.3230485226111501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2659557149145109"/>
                  <c:y val="-9.8374873292023778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1133383017744686"/>
                  <c:y val="3.4898410845320076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'3.Ječam'!$C$56:$C$65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'3.Ječam'!$F$56:$F$65</c:f>
              <c:numCache>
                <c:formatCode>#,##0</c:formatCode>
                <c:ptCount val="10"/>
                <c:pt idx="0">
                  <c:v>10000</c:v>
                </c:pt>
                <c:pt idx="1">
                  <c:v>23250</c:v>
                </c:pt>
                <c:pt idx="2">
                  <c:v>4390</c:v>
                </c:pt>
                <c:pt idx="3">
                  <c:v>0</c:v>
                </c:pt>
                <c:pt idx="4">
                  <c:v>10150</c:v>
                </c:pt>
                <c:pt idx="5">
                  <c:v>1009.6153846153846</c:v>
                </c:pt>
                <c:pt idx="6">
                  <c:v>13200</c:v>
                </c:pt>
                <c:pt idx="7">
                  <c:v>750</c:v>
                </c:pt>
                <c:pt idx="8">
                  <c:v>1500</c:v>
                </c:pt>
                <c:pt idx="9">
                  <c:v>1700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soje</a:t>
            </a:r>
            <a:endParaRPr lang="en-US" sz="1400"/>
          </a:p>
        </c:rich>
      </c:tx>
      <c:layout>
        <c:manualLayout>
          <c:xMode val="edge"/>
          <c:yMode val="edge"/>
          <c:x val="0.13068272628318331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797"/>
          <c:y val="0.16794789640631141"/>
          <c:w val="0.61980504638190148"/>
          <c:h val="0.75495801107536065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8.8685725112298469E-2"/>
                  <c:y val="9.9870948960825268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1.1464835664227487E-2"/>
                  <c:y val="2.2918364386391759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4861154375702274"/>
                  <c:y val="4.146403560270389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'4.Soja'!$C$56:$C$65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'4.Soja'!$F$56:$F$65</c:f>
              <c:numCache>
                <c:formatCode>#,##0</c:formatCode>
                <c:ptCount val="10"/>
                <c:pt idx="0">
                  <c:v>10800</c:v>
                </c:pt>
                <c:pt idx="1">
                  <c:v>17200</c:v>
                </c:pt>
                <c:pt idx="2">
                  <c:v>8375</c:v>
                </c:pt>
                <c:pt idx="3">
                  <c:v>6525</c:v>
                </c:pt>
                <c:pt idx="4">
                  <c:v>8700</c:v>
                </c:pt>
                <c:pt idx="5">
                  <c:v>1514.4230769230769</c:v>
                </c:pt>
                <c:pt idx="6">
                  <c:v>13500</c:v>
                </c:pt>
                <c:pt idx="7">
                  <c:v>2000</c:v>
                </c:pt>
                <c:pt idx="8">
                  <c:v>3500</c:v>
                </c:pt>
                <c:pt idx="9">
                  <c:v>3000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suncokreta</a:t>
            </a:r>
            <a:endParaRPr lang="en-US" sz="1400"/>
          </a:p>
        </c:rich>
      </c:tx>
      <c:layout>
        <c:manualLayout>
          <c:xMode val="edge"/>
          <c:yMode val="edge"/>
          <c:x val="0.1306827262831832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808"/>
          <c:y val="0.16794789640631147"/>
          <c:w val="0.5832234773155528"/>
          <c:h val="0.74803914462952958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0.11209587993109472"/>
                  <c:y val="0.1154301624183401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9.2662130273469048E-2"/>
                  <c:y val="3.0296948747611692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'5.Suncokret'!$C$56:$C$65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'5.Suncokret'!$F$56:$F$65</c:f>
              <c:numCache>
                <c:formatCode>#,##0</c:formatCode>
                <c:ptCount val="10"/>
                <c:pt idx="0">
                  <c:v>12500</c:v>
                </c:pt>
                <c:pt idx="1">
                  <c:v>17700</c:v>
                </c:pt>
                <c:pt idx="2">
                  <c:v>4545</c:v>
                </c:pt>
                <c:pt idx="3">
                  <c:v>2175</c:v>
                </c:pt>
                <c:pt idx="4">
                  <c:v>7975</c:v>
                </c:pt>
                <c:pt idx="5">
                  <c:v>1009.6153846153846</c:v>
                </c:pt>
                <c:pt idx="6">
                  <c:v>13200</c:v>
                </c:pt>
                <c:pt idx="7">
                  <c:v>0</c:v>
                </c:pt>
                <c:pt idx="8">
                  <c:v>1550</c:v>
                </c:pt>
                <c:pt idx="9">
                  <c:v>2100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uljane</a:t>
            </a:r>
            <a:r>
              <a:rPr lang="sr-Latn-CS" sz="1400" baseline="0"/>
              <a:t> repice</a:t>
            </a:r>
            <a:endParaRPr lang="en-US" sz="1400"/>
          </a:p>
        </c:rich>
      </c:tx>
      <c:layout>
        <c:manualLayout>
          <c:xMode val="edge"/>
          <c:yMode val="edge"/>
          <c:x val="0.13068272628318309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82"/>
          <c:y val="0.16794789640631158"/>
          <c:w val="0.5832234773155528"/>
          <c:h val="0.74803914462952992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'6.Ulj.repica'!$C$56:$C$65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'6.Ulj.repica'!$F$56:$F$65</c:f>
              <c:numCache>
                <c:formatCode>#,##0</c:formatCode>
                <c:ptCount val="10"/>
                <c:pt idx="0">
                  <c:v>8400</c:v>
                </c:pt>
                <c:pt idx="1">
                  <c:v>21540</c:v>
                </c:pt>
                <c:pt idx="2">
                  <c:v>5501</c:v>
                </c:pt>
                <c:pt idx="3">
                  <c:v>0</c:v>
                </c:pt>
                <c:pt idx="4">
                  <c:v>8700</c:v>
                </c:pt>
                <c:pt idx="5">
                  <c:v>865.38461538461536</c:v>
                </c:pt>
                <c:pt idx="6">
                  <c:v>13500</c:v>
                </c:pt>
                <c:pt idx="7">
                  <c:v>0</c:v>
                </c:pt>
                <c:pt idx="8">
                  <c:v>3100</c:v>
                </c:pt>
                <c:pt idx="9">
                  <c:v>2100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sr-Latn-CS"/>
            </a:pPr>
            <a:r>
              <a:rPr lang="en-US" sz="1400"/>
              <a:t>Struktura varijabilnih troškova u proizvodnji </a:t>
            </a:r>
            <a:r>
              <a:rPr lang="sr-Latn-CS" sz="1400"/>
              <a:t>šećerne repe</a:t>
            </a:r>
            <a:endParaRPr lang="en-US" sz="1400"/>
          </a:p>
        </c:rich>
      </c:tx>
      <c:layout>
        <c:manualLayout>
          <c:xMode val="edge"/>
          <c:yMode val="edge"/>
          <c:x val="0.13068275412893787"/>
          <c:y val="1.8762747203158194E-3"/>
        </c:manualLayout>
      </c:layout>
      <c:overlay val="1"/>
    </c:title>
    <c:plotArea>
      <c:layout>
        <c:manualLayout>
          <c:layoutTarget val="inner"/>
          <c:xMode val="edge"/>
          <c:yMode val="edge"/>
          <c:x val="0.18329566794139804"/>
          <c:y val="0.18256780402449724"/>
          <c:w val="0.57376639503002458"/>
          <c:h val="0.76857549083305265"/>
        </c:manualLayout>
      </c:layout>
      <c:pieChart>
        <c:varyColors val="1"/>
        <c:ser>
          <c:idx val="0"/>
          <c:order val="0"/>
          <c:dLbls>
            <c:dLbl>
              <c:idx val="9"/>
              <c:layout>
                <c:manualLayout>
                  <c:x val="0.11511544806927652"/>
                  <c:y val="-1.1558768911668803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sr-Latn-CS"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'7.Š.Repa'!$C$59:$C$68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'7.Š.Repa'!$F$59:$F$68</c:f>
              <c:numCache>
                <c:formatCode>#,##0</c:formatCode>
                <c:ptCount val="10"/>
                <c:pt idx="0">
                  <c:v>18600</c:v>
                </c:pt>
                <c:pt idx="1">
                  <c:v>28000</c:v>
                </c:pt>
                <c:pt idx="2">
                  <c:v>48180</c:v>
                </c:pt>
                <c:pt idx="3">
                  <c:v>6525</c:v>
                </c:pt>
                <c:pt idx="4">
                  <c:v>16675</c:v>
                </c:pt>
                <c:pt idx="5">
                  <c:v>2307.6923076923076</c:v>
                </c:pt>
                <c:pt idx="6">
                  <c:v>35000</c:v>
                </c:pt>
                <c:pt idx="7">
                  <c:v>0</c:v>
                </c:pt>
                <c:pt idx="8">
                  <c:v>0</c:v>
                </c:pt>
                <c:pt idx="9">
                  <c:v>3000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362816</xdr:colOff>
      <xdr:row>2</xdr:row>
      <xdr:rowOff>86881</xdr:rowOff>
    </xdr:from>
    <xdr:to>
      <xdr:col>9</xdr:col>
      <xdr:colOff>581891</xdr:colOff>
      <xdr:row>14</xdr:row>
      <xdr:rowOff>121228</xdr:rowOff>
    </xdr:to>
    <xdr:sp macro="" textlink="">
      <xdr:nvSpPr>
        <xdr:cNvPr id="6" name="TextBox 5"/>
        <xdr:cNvSpPr txBox="1"/>
      </xdr:nvSpPr>
      <xdr:spPr>
        <a:xfrm>
          <a:off x="1254702" y="1723449"/>
          <a:ext cx="5050848" cy="2112529"/>
        </a:xfrm>
        <a:prstGeom prst="rect">
          <a:avLst/>
        </a:prstGeom>
        <a:solidFill>
          <a:schemeClr val="lt1"/>
        </a:solidFill>
        <a:ln w="15875" cap="rnd" cmpd="sng">
          <a:solidFill>
            <a:srgbClr val="333399"/>
          </a:solidFill>
          <a:bevel/>
        </a:ln>
        <a:scene3d>
          <a:camera prst="orthographicFront"/>
          <a:lightRig rig="threePt" dir="t">
            <a:rot lat="0" lon="0" rev="1200000"/>
          </a:lightRig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sr-Latn-CS" sz="1200" b="1">
              <a:latin typeface="Arial" pitchFamily="34" charset="0"/>
              <a:cs typeface="Arial" pitchFamily="34" charset="0"/>
            </a:rPr>
            <a:t>Uvod</a:t>
          </a:r>
          <a:endParaRPr lang="sr-Latn-CS" sz="1000" b="1">
            <a:latin typeface="Arial" pitchFamily="34" charset="0"/>
            <a:cs typeface="Arial" pitchFamily="34" charset="0"/>
          </a:endParaRPr>
        </a:p>
        <a:p>
          <a:endParaRPr lang="sr-Latn-CS" sz="700">
            <a:latin typeface="Arial" pitchFamily="34" charset="0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Osnovna svrha 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tx2">
                  <a:lumMod val="50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plana poslovanja poljoprivrednog gazdinstva 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 da posluži poljoprivrednicima kao pomoćni alat u procesu izrade plana setve. Kvalitet procesa planiranja zavisi od pretpostavki koje se unose u kalkulaciju. Tu se prvenstveno misli na realnost podataka o: raspoloživim resursima, očekivanim prinosima, količinama inputa, cenama poljoprivrednih proizvoda i cenama inputa.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Urađeni primer plana poslovanja poljoprivrednog gazdinstva, kao i kalkulacije bruto marže </a:t>
          </a:r>
          <a:r>
            <a:rPr kumimoji="0" lang="sr-Latn-CS" sz="1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nisu</a:t>
          </a:r>
          <a:r>
            <a:rPr kumimoji="0" lang="sr-Latn-CS" sz="10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sr-Latn-CS" sz="1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 u kom slučaju preporuka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, već samo pomoć da se lakše razume način na koji obrasci funkcionišu.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Svako gazdinstvo ima sopstvene količine i kvalitet resursa, a svaki poljoprivrednik ima sopstvene preferencije ka pojedinim linijama proizvodnje, te stoga ne može postojati univerzalna kalkulacija ili univerzalni plan poslovanja koji važi za sva gazdinstva.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10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605578</xdr:colOff>
      <xdr:row>0</xdr:row>
      <xdr:rowOff>121227</xdr:rowOff>
    </xdr:from>
    <xdr:to>
      <xdr:col>3</xdr:col>
      <xdr:colOff>409343</xdr:colOff>
      <xdr:row>0</xdr:row>
      <xdr:rowOff>1272886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46" y="121227"/>
          <a:ext cx="1700106" cy="115165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507962</xdr:colOff>
      <xdr:row>0</xdr:row>
      <xdr:rowOff>587195</xdr:rowOff>
    </xdr:from>
    <xdr:to>
      <xdr:col>8</xdr:col>
      <xdr:colOff>474128</xdr:colOff>
      <xdr:row>1</xdr:row>
      <xdr:rowOff>35582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90894" y="587195"/>
          <a:ext cx="3074780" cy="790546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42</xdr:row>
      <xdr:rowOff>7937</xdr:rowOff>
    </xdr:from>
    <xdr:to>
      <xdr:col>9</xdr:col>
      <xdr:colOff>622300</xdr:colOff>
      <xdr:row>57</xdr:row>
      <xdr:rowOff>129886</xdr:rowOff>
    </xdr:to>
    <xdr:sp macro="" textlink="">
      <xdr:nvSpPr>
        <xdr:cNvPr id="7" name="TextBox 6"/>
        <xdr:cNvSpPr txBox="1"/>
      </xdr:nvSpPr>
      <xdr:spPr>
        <a:xfrm>
          <a:off x="112568" y="7775142"/>
          <a:ext cx="6233391" cy="2615767"/>
        </a:xfrm>
        <a:prstGeom prst="rect">
          <a:avLst/>
        </a:prstGeom>
        <a:solidFill>
          <a:schemeClr val="lt1"/>
        </a:solidFill>
        <a:ln w="15875" cap="rnd" cmpd="sng">
          <a:solidFill>
            <a:srgbClr val="333399"/>
          </a:solidFill>
          <a:bevel/>
        </a:ln>
        <a:scene3d>
          <a:camera prst="orthographicFront"/>
          <a:lightRig rig="threePt" dir="t">
            <a:rot lat="0" lon="0" rev="1200000"/>
          </a:lightRig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sr-Latn-CS" sz="1200" b="1">
              <a:latin typeface="Arial" pitchFamily="34" charset="0"/>
              <a:cs typeface="Arial" pitchFamily="34" charset="0"/>
            </a:rPr>
            <a:t>Šta je to "Bruto marža"?</a:t>
          </a:r>
        </a:p>
        <a:p>
          <a:endParaRPr lang="sr-Latn-CS" sz="200">
            <a:latin typeface="Arial" pitchFamily="34" charset="0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vi-VN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Bruto marža jedne linije proizvodnje jeste razlika između ukupnih prihoda i ukupnih varijabilnih troškova koji </a:t>
          </a:r>
          <a:r>
            <a:rPr lang="sr-Latn-CS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 očekuju u toj proizvodnji. U kratkoročnom periodu, koji u poljoprivredi najčešće iznosi godinu dana, cilj </a:t>
          </a:r>
          <a:r>
            <a:rPr lang="sr-Latn-CS" sz="1000">
              <a:latin typeface="Arial" pitchFamily="34" charset="0"/>
              <a:cs typeface="Arial" pitchFamily="34" charset="0"/>
            </a:rPr>
            <a:t> proizvodnje da se maksimizira ukupna bruto marža na poljoprivrednom gazdinstvu, izjednačava se sa ciljem maksimiziranja profita poljoprivrednog gazdinstva. Razlog leži u činjenici da ukupni fiksni troškovi na poljoprivrednom gazdinstvu nisu promenljivi u tom periodu.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Varijabilni troškovi su oni čiji iznos varira zavisno od veličine kapaciteta linije proizvodnje. Drugim rečima, ako se ne proizvodi, oni ne postoje. U varijabilne troškove u biljnoj proizvodnji se ubrajaju najčešće troškovi: semena, </a:t>
          </a:r>
          <a:r>
            <a:rPr kumimoji="0" lang="vi-VN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mineralnog đubriva, pesticida, dizel goriva i drugi.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Fiksni troškovi su oni koji u periodu do 1 godine postoje na gazdinstvu, bez obzira da li ono posluje ili ne. Zbog toga se 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fiksni troškovi 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u kratkoročnom planu mogu izostaviti, što olakšava proces planiranja.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U PPPG 1-2 se koristi bruto marža sa balansiranim troškovima aktivnih mineralnih materija N, P i K, koja je jednaka bruto marži </a:t>
          </a:r>
          <a:r>
            <a:rPr kumimoji="0" lang="vi-VN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korigovanoj sa razlikom između vrednosti unetih i vrednosti odnetih aktivnih mineralnih materija.</a:t>
          </a:r>
          <a:r>
            <a:rPr kumimoji="0" lang="sr-Latn-R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Kod obračuna ovog pokazatelja pošlo se od pretpostavke očuvanja plodnosti poljoprivrednog</a:t>
          </a:r>
          <a:r>
            <a:rPr kumimoji="0" lang="sr-Latn-R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zemljišta i principa da unete i odnete količine aktivnih mineralnih materija treba da budu jednake.</a:t>
          </a:r>
          <a:endParaRPr kumimoji="0" lang="sr-Latn-CS" sz="10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196850</xdr:colOff>
      <xdr:row>82</xdr:row>
      <xdr:rowOff>8029</xdr:rowOff>
    </xdr:from>
    <xdr:to>
      <xdr:col>7</xdr:col>
      <xdr:colOff>609600</xdr:colOff>
      <xdr:row>83</xdr:row>
      <xdr:rowOff>25025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02150" y="13870079"/>
          <a:ext cx="412750" cy="18209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510888</xdr:colOff>
      <xdr:row>0</xdr:row>
      <xdr:rowOff>0</xdr:rowOff>
    </xdr:from>
    <xdr:to>
      <xdr:col>7</xdr:col>
      <xdr:colOff>439617</xdr:colOff>
      <xdr:row>0</xdr:row>
      <xdr:rowOff>590550</xdr:rowOff>
    </xdr:to>
    <xdr:pic>
      <xdr:nvPicPr>
        <xdr:cNvPr id="9" name="Picture 4" descr="GIZ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93820" y="0"/>
          <a:ext cx="2249365" cy="5905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638175</xdr:colOff>
      <xdr:row>0</xdr:row>
      <xdr:rowOff>0</xdr:rowOff>
    </xdr:from>
    <xdr:to>
      <xdr:col>13</xdr:col>
      <xdr:colOff>895350</xdr:colOff>
      <xdr:row>1</xdr:row>
      <xdr:rowOff>275167</xdr:rowOff>
    </xdr:to>
    <xdr:sp macro="" textlink="">
      <xdr:nvSpPr>
        <xdr:cNvPr id="2" name="Rounded Rectangular Callout 1"/>
        <xdr:cNvSpPr/>
      </xdr:nvSpPr>
      <xdr:spPr>
        <a:xfrm>
          <a:off x="9517592" y="0"/>
          <a:ext cx="2839508" cy="433917"/>
        </a:xfrm>
        <a:prstGeom prst="wedgeRoundRectCallout">
          <a:avLst>
            <a:gd name="adj1" fmla="val -59533"/>
            <a:gd name="adj2" fmla="val 5572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sr-Latn-CS" sz="1100">
              <a:solidFill>
                <a:schemeClr val="tx1"/>
              </a:solidFill>
            </a:rPr>
            <a:t>Za očekivanu prosečnu bruto maržu  po 1ha pruženih usluga</a:t>
          </a:r>
          <a:r>
            <a:rPr lang="sr-Latn-CS" sz="1100" baseline="0">
              <a:solidFill>
                <a:schemeClr val="tx1"/>
              </a:solidFill>
            </a:rPr>
            <a:t> unesite podatke u Tabelu 1.</a:t>
          </a:r>
          <a:endParaRPr lang="sr-Latn-C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895350</xdr:colOff>
      <xdr:row>1</xdr:row>
      <xdr:rowOff>58209</xdr:rowOff>
    </xdr:from>
    <xdr:to>
      <xdr:col>14</xdr:col>
      <xdr:colOff>95250</xdr:colOff>
      <xdr:row>1</xdr:row>
      <xdr:rowOff>238125</xdr:rowOff>
    </xdr:to>
    <xdr:cxnSp macro="">
      <xdr:nvCxnSpPr>
        <xdr:cNvPr id="4" name="Straight Arrow Connector 3"/>
        <xdr:cNvCxnSpPr>
          <a:stCxn id="2" idx="3"/>
        </xdr:cNvCxnSpPr>
      </xdr:nvCxnSpPr>
      <xdr:spPr>
        <a:xfrm>
          <a:off x="12357100" y="216959"/>
          <a:ext cx="173567" cy="179916"/>
        </a:xfrm>
        <a:prstGeom prst="straightConnector1">
          <a:avLst/>
        </a:prstGeom>
        <a:ln w="19050">
          <a:solidFill>
            <a:srgbClr val="FF0000"/>
          </a:solidFill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504826</xdr:colOff>
      <xdr:row>1</xdr:row>
      <xdr:rowOff>142875</xdr:rowOff>
    </xdr:from>
    <xdr:to>
      <xdr:col>16</xdr:col>
      <xdr:colOff>590550</xdr:colOff>
      <xdr:row>17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153987</xdr:colOff>
      <xdr:row>69</xdr:row>
      <xdr:rowOff>63500</xdr:rowOff>
    </xdr:from>
    <xdr:to>
      <xdr:col>9</xdr:col>
      <xdr:colOff>609600</xdr:colOff>
      <xdr:row>92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230187</xdr:colOff>
      <xdr:row>68</xdr:row>
      <xdr:rowOff>34924</xdr:rowOff>
    </xdr:from>
    <xdr:to>
      <xdr:col>9</xdr:col>
      <xdr:colOff>809625</xdr:colOff>
      <xdr:row>91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</xdr:colOff>
      <xdr:row>68</xdr:row>
      <xdr:rowOff>25399</xdr:rowOff>
    </xdr:from>
    <xdr:to>
      <xdr:col>9</xdr:col>
      <xdr:colOff>762000</xdr:colOff>
      <xdr:row>91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</xdr:colOff>
      <xdr:row>66</xdr:row>
      <xdr:rowOff>15874</xdr:rowOff>
    </xdr:from>
    <xdr:to>
      <xdr:col>9</xdr:col>
      <xdr:colOff>762000</xdr:colOff>
      <xdr:row>88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163512</xdr:colOff>
      <xdr:row>67</xdr:row>
      <xdr:rowOff>120649</xdr:rowOff>
    </xdr:from>
    <xdr:to>
      <xdr:col>9</xdr:col>
      <xdr:colOff>742950</xdr:colOff>
      <xdr:row>90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68</xdr:row>
      <xdr:rowOff>19050</xdr:rowOff>
    </xdr:from>
    <xdr:to>
      <xdr:col>9</xdr:col>
      <xdr:colOff>741363</xdr:colOff>
      <xdr:row>91</xdr:row>
      <xdr:rowOff>60326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115887</xdr:colOff>
      <xdr:row>70</xdr:row>
      <xdr:rowOff>104775</xdr:rowOff>
    </xdr:from>
    <xdr:to>
      <xdr:col>9</xdr:col>
      <xdr:colOff>695325</xdr:colOff>
      <xdr:row>94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povicr@ef.uns.ac.r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zoomScale="130" zoomScaleNormal="130" zoomScaleSheetLayoutView="150" workbookViewId="0">
      <selection activeCell="D36" sqref="D36"/>
    </sheetView>
  </sheetViews>
  <sheetFormatPr defaultRowHeight="12.75"/>
  <cols>
    <col min="1" max="1" width="1.7109375" style="1" customWidth="1"/>
    <col min="2" max="2" width="11.7109375" style="1" customWidth="1"/>
    <col min="3" max="3" width="16.7109375" style="1" customWidth="1"/>
    <col min="4" max="4" width="8" style="1" customWidth="1"/>
    <col min="5" max="5" width="9.7109375" style="1" customWidth="1"/>
    <col min="6" max="6" width="9.140625" style="1"/>
    <col min="7" max="7" width="7.85546875" style="1" customWidth="1"/>
    <col min="8" max="8" width="11.85546875" style="1" customWidth="1"/>
    <col min="9" max="9" width="9.140625" style="1"/>
    <col min="10" max="10" width="9.85546875" style="1" customWidth="1"/>
    <col min="11" max="16384" width="9.140625" style="1"/>
  </cols>
  <sheetData>
    <row r="1" spans="2:5" ht="105.75" customHeight="1"/>
    <row r="2" spans="2:5" ht="23.25">
      <c r="B2" s="73" t="s">
        <v>291</v>
      </c>
    </row>
    <row r="3" spans="2:5" ht="7.5" customHeight="1">
      <c r="B3" s="73"/>
    </row>
    <row r="4" spans="2:5">
      <c r="B4" s="17" t="s">
        <v>114</v>
      </c>
    </row>
    <row r="5" spans="2:5" s="2" customFormat="1" ht="14.25">
      <c r="B5" s="110" t="s">
        <v>115</v>
      </c>
    </row>
    <row r="6" spans="2:5" s="2" customFormat="1" ht="14.25">
      <c r="B6" s="110" t="s">
        <v>116</v>
      </c>
    </row>
    <row r="7" spans="2:5" s="2" customFormat="1" ht="14.25">
      <c r="B7" s="110" t="s">
        <v>152</v>
      </c>
      <c r="E7" s="111"/>
    </row>
    <row r="8" spans="2:5" s="2" customFormat="1" ht="14.25">
      <c r="B8" s="110" t="s">
        <v>153</v>
      </c>
      <c r="E8" s="111"/>
    </row>
    <row r="9" spans="2:5" s="2" customFormat="1" ht="14.25">
      <c r="B9" s="110" t="s">
        <v>154</v>
      </c>
      <c r="E9" s="111"/>
    </row>
    <row r="10" spans="2:5" s="2" customFormat="1" ht="14.25">
      <c r="B10" s="110" t="s">
        <v>377</v>
      </c>
      <c r="E10" s="111"/>
    </row>
    <row r="11" spans="2:5" s="2" customFormat="1" ht="14.25">
      <c r="B11" s="110" t="s">
        <v>378</v>
      </c>
      <c r="E11" s="111"/>
    </row>
    <row r="12" spans="2:5" s="2" customFormat="1" ht="14.25">
      <c r="B12" s="110"/>
    </row>
    <row r="13" spans="2:5" s="2" customFormat="1" ht="14.25">
      <c r="B13" s="110"/>
      <c r="E13" s="111"/>
    </row>
    <row r="14" spans="2:5" s="2" customFormat="1" ht="14.25">
      <c r="B14" s="110"/>
      <c r="E14" s="111"/>
    </row>
    <row r="16" spans="2:5" ht="4.5" customHeight="1"/>
    <row r="17" spans="2:9" ht="18">
      <c r="B17" s="142" t="s">
        <v>222</v>
      </c>
    </row>
    <row r="18" spans="2:9" ht="5.25" customHeight="1"/>
    <row r="19" spans="2:9">
      <c r="B19" s="1" t="s">
        <v>223</v>
      </c>
      <c r="G19" s="114"/>
    </row>
    <row r="20" spans="2:9" ht="7.5" customHeight="1"/>
    <row r="21" spans="2:9">
      <c r="B21" s="1" t="s">
        <v>134</v>
      </c>
      <c r="E21" s="102"/>
      <c r="F21" s="1" t="s">
        <v>238</v>
      </c>
      <c r="I21" s="55"/>
    </row>
    <row r="22" spans="2:9">
      <c r="B22" s="1" t="s">
        <v>135</v>
      </c>
      <c r="I22" s="55"/>
    </row>
    <row r="23" spans="2:9" ht="7.5" customHeight="1">
      <c r="I23" s="55"/>
    </row>
    <row r="24" spans="2:9">
      <c r="B24" s="55" t="s">
        <v>233</v>
      </c>
      <c r="I24" s="55"/>
    </row>
    <row r="25" spans="2:9">
      <c r="B25" s="1" t="s">
        <v>234</v>
      </c>
    </row>
    <row r="26" spans="2:9">
      <c r="B26" s="55" t="s">
        <v>235</v>
      </c>
      <c r="E26" s="55"/>
      <c r="I26" s="55"/>
    </row>
    <row r="27" spans="2:9" ht="4.5" customHeight="1">
      <c r="B27" s="55"/>
      <c r="E27" s="55"/>
      <c r="I27" s="55"/>
    </row>
    <row r="28" spans="2:9">
      <c r="B28" s="55" t="s">
        <v>244</v>
      </c>
      <c r="E28" s="55"/>
      <c r="I28" s="55"/>
    </row>
    <row r="29" spans="2:9" ht="12.75" customHeight="1">
      <c r="B29" s="1" t="s">
        <v>245</v>
      </c>
      <c r="E29" s="55"/>
      <c r="I29" s="55"/>
    </row>
    <row r="30" spans="2:9">
      <c r="B30" s="1" t="s">
        <v>242</v>
      </c>
      <c r="E30" s="55"/>
      <c r="I30" s="55"/>
    </row>
    <row r="31" spans="2:9">
      <c r="B31" s="1" t="s">
        <v>236</v>
      </c>
      <c r="E31" s="55"/>
      <c r="I31" s="55"/>
    </row>
    <row r="32" spans="2:9">
      <c r="B32" s="1" t="s">
        <v>237</v>
      </c>
      <c r="E32" s="55"/>
      <c r="I32" s="55"/>
    </row>
    <row r="33" spans="2:10">
      <c r="B33" s="1" t="s">
        <v>239</v>
      </c>
      <c r="E33" s="55"/>
      <c r="I33" s="55"/>
    </row>
    <row r="34" spans="2:10">
      <c r="B34" s="1" t="s">
        <v>284</v>
      </c>
      <c r="E34" s="55"/>
      <c r="I34" s="55"/>
    </row>
    <row r="35" spans="2:10">
      <c r="B35" s="1" t="s">
        <v>285</v>
      </c>
      <c r="E35" s="55"/>
      <c r="I35" s="55"/>
    </row>
    <row r="36" spans="2:10">
      <c r="B36" s="1" t="s">
        <v>136</v>
      </c>
      <c r="C36" s="55"/>
      <c r="D36" s="55"/>
      <c r="E36" s="55"/>
      <c r="F36" s="55"/>
      <c r="G36" s="55"/>
      <c r="H36" s="55"/>
      <c r="I36" s="55"/>
      <c r="J36" s="55"/>
    </row>
    <row r="37" spans="2:10">
      <c r="B37" s="1" t="s">
        <v>137</v>
      </c>
      <c r="C37" s="55"/>
      <c r="D37" s="55"/>
      <c r="E37" s="55"/>
      <c r="F37" s="55"/>
      <c r="G37" s="55"/>
      <c r="H37" s="55"/>
      <c r="I37" s="55"/>
      <c r="J37" s="55"/>
    </row>
    <row r="38" spans="2:10" ht="4.5" customHeight="1">
      <c r="C38" s="55"/>
      <c r="D38" s="55"/>
      <c r="E38" s="55"/>
      <c r="F38" s="55"/>
      <c r="G38" s="55"/>
      <c r="H38" s="55"/>
      <c r="I38" s="55"/>
      <c r="J38" s="55"/>
    </row>
    <row r="39" spans="2:10">
      <c r="B39" s="1" t="s">
        <v>240</v>
      </c>
      <c r="C39" s="55"/>
      <c r="D39" s="55"/>
      <c r="E39" s="55"/>
      <c r="F39" s="55"/>
      <c r="G39" s="55"/>
      <c r="H39" s="55"/>
      <c r="I39" s="55"/>
      <c r="J39" s="55"/>
    </row>
    <row r="40" spans="2:10">
      <c r="B40" s="1" t="s">
        <v>138</v>
      </c>
      <c r="C40" s="55"/>
      <c r="D40" s="55"/>
      <c r="E40" s="55"/>
      <c r="F40" s="55"/>
      <c r="G40" s="55"/>
      <c r="H40" s="55"/>
      <c r="I40" s="55"/>
      <c r="J40" s="55"/>
    </row>
    <row r="41" spans="2:10" ht="12.75" customHeight="1">
      <c r="B41" s="1" t="s">
        <v>139</v>
      </c>
      <c r="E41" s="55"/>
      <c r="I41" s="55"/>
    </row>
    <row r="42" spans="2:10" ht="7.5" customHeight="1">
      <c r="E42" s="55"/>
      <c r="I42" s="55"/>
    </row>
    <row r="43" spans="2:10">
      <c r="E43" s="55"/>
      <c r="I43" s="55"/>
    </row>
    <row r="44" spans="2:10">
      <c r="E44" s="55"/>
      <c r="I44" s="55"/>
    </row>
    <row r="45" spans="2:10">
      <c r="I45" s="55"/>
    </row>
    <row r="46" spans="2:10" ht="15">
      <c r="B46" s="112"/>
    </row>
    <row r="47" spans="2:10" ht="12.75" customHeight="1"/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 ht="4.5" customHeight="1">
      <c r="B59" s="118"/>
    </row>
    <row r="60" spans="2:2">
      <c r="B60" s="1" t="s">
        <v>241</v>
      </c>
    </row>
    <row r="61" spans="2:2">
      <c r="B61" s="1" t="s">
        <v>243</v>
      </c>
    </row>
    <row r="62" spans="2:2">
      <c r="B62" s="1" t="s">
        <v>287</v>
      </c>
    </row>
    <row r="63" spans="2:2">
      <c r="B63" s="1" t="s">
        <v>286</v>
      </c>
    </row>
    <row r="64" spans="2:2" ht="12.75" customHeight="1">
      <c r="B64" s="1" t="s">
        <v>246</v>
      </c>
    </row>
    <row r="65" spans="2:3" ht="12.75" customHeight="1">
      <c r="B65" s="1" t="s">
        <v>251</v>
      </c>
    </row>
    <row r="66" spans="2:3" ht="12.75" customHeight="1">
      <c r="B66" s="1" t="s">
        <v>288</v>
      </c>
    </row>
    <row r="67" spans="2:3" ht="12.75" customHeight="1">
      <c r="B67" s="1" t="s">
        <v>247</v>
      </c>
    </row>
    <row r="68" spans="2:3" ht="12.75" customHeight="1">
      <c r="B68" s="1" t="s">
        <v>248</v>
      </c>
    </row>
    <row r="69" spans="2:3" ht="12.75" customHeight="1">
      <c r="B69" s="1" t="s">
        <v>249</v>
      </c>
    </row>
    <row r="70" spans="2:3" ht="12.75" customHeight="1">
      <c r="B70" s="1" t="s">
        <v>250</v>
      </c>
    </row>
    <row r="71" spans="2:3" ht="12.75" customHeight="1">
      <c r="B71" s="1" t="s">
        <v>256</v>
      </c>
    </row>
    <row r="72" spans="2:3" ht="5.25" customHeight="1"/>
    <row r="73" spans="2:3" ht="12.75" customHeight="1">
      <c r="B73" s="1" t="s">
        <v>252</v>
      </c>
    </row>
    <row r="74" spans="2:3" ht="12.75" customHeight="1">
      <c r="B74" s="1" t="s">
        <v>253</v>
      </c>
    </row>
    <row r="75" spans="2:3" ht="12.75" customHeight="1">
      <c r="B75" s="1" t="s">
        <v>254</v>
      </c>
    </row>
    <row r="76" spans="2:3" ht="12.75" customHeight="1">
      <c r="B76" s="1" t="s">
        <v>255</v>
      </c>
    </row>
    <row r="77" spans="2:3" ht="5.25" customHeight="1"/>
    <row r="78" spans="2:3" ht="12.75" customHeight="1">
      <c r="B78" s="1" t="s">
        <v>257</v>
      </c>
    </row>
    <row r="79" spans="2:3" ht="12.75" customHeight="1">
      <c r="B79" s="154" t="s">
        <v>260</v>
      </c>
      <c r="C79" s="1" t="s">
        <v>259</v>
      </c>
    </row>
    <row r="80" spans="2:3" ht="12.75" customHeight="1">
      <c r="C80" s="1" t="s">
        <v>258</v>
      </c>
    </row>
    <row r="81" spans="2:12" ht="12.75" customHeight="1">
      <c r="B81" s="154" t="s">
        <v>260</v>
      </c>
      <c r="C81" s="1" t="s">
        <v>261</v>
      </c>
    </row>
    <row r="82" spans="2:12" ht="12.75" customHeight="1">
      <c r="C82" s="1" t="s">
        <v>262</v>
      </c>
    </row>
    <row r="83" spans="2:12" ht="12.75" customHeight="1">
      <c r="C83" s="1" t="s">
        <v>263</v>
      </c>
    </row>
    <row r="84" spans="2:12" ht="5.25" customHeight="1">
      <c r="B84"/>
    </row>
    <row r="85" spans="2:12" ht="12.75" customHeight="1">
      <c r="B85" s="1" t="s">
        <v>271</v>
      </c>
    </row>
    <row r="86" spans="2:12" ht="12.75" customHeight="1">
      <c r="B86" s="1" t="s">
        <v>264</v>
      </c>
    </row>
    <row r="87" spans="2:12" ht="12.75" customHeight="1">
      <c r="B87" s="1" t="s">
        <v>265</v>
      </c>
    </row>
    <row r="88" spans="2:12" ht="4.5" customHeight="1"/>
    <row r="89" spans="2:12" ht="12.75" customHeight="1">
      <c r="B89" s="1" t="s">
        <v>266</v>
      </c>
    </row>
    <row r="90" spans="2:12" ht="12.75" customHeight="1">
      <c r="B90" s="118" t="s">
        <v>267</v>
      </c>
    </row>
    <row r="91" spans="2:12" ht="12.75" customHeight="1">
      <c r="B91" s="118" t="s">
        <v>268</v>
      </c>
    </row>
    <row r="92" spans="2:12" ht="12.75" customHeight="1">
      <c r="B92" s="1" t="s">
        <v>269</v>
      </c>
      <c r="L92" s="118"/>
    </row>
    <row r="93" spans="2:12" ht="12.75" customHeight="1">
      <c r="B93" s="1" t="s">
        <v>270</v>
      </c>
      <c r="L93" s="118"/>
    </row>
    <row r="94" spans="2:12" ht="4.5" customHeight="1">
      <c r="L94" s="118"/>
    </row>
    <row r="95" spans="2:12" ht="12.75" customHeight="1">
      <c r="B95" s="1" t="s">
        <v>272</v>
      </c>
    </row>
    <row r="96" spans="2:12" ht="12.75" customHeight="1">
      <c r="B96" s="118" t="s">
        <v>273</v>
      </c>
    </row>
    <row r="97" spans="1:3" ht="12.75" customHeight="1">
      <c r="B97" s="1" t="s">
        <v>386</v>
      </c>
    </row>
    <row r="98" spans="1:3">
      <c r="B98" s="1" t="s">
        <v>387</v>
      </c>
    </row>
    <row r="99" spans="1:3" ht="4.5" customHeight="1"/>
    <row r="100" spans="1:3" ht="12.75" customHeight="1">
      <c r="B100" s="1" t="s">
        <v>274</v>
      </c>
    </row>
    <row r="101" spans="1:3" ht="12.75" customHeight="1">
      <c r="A101" s="154" t="s">
        <v>260</v>
      </c>
      <c r="B101" s="1" t="s">
        <v>279</v>
      </c>
    </row>
    <row r="102" spans="1:3" ht="12.75" customHeight="1">
      <c r="B102" s="1" t="s">
        <v>275</v>
      </c>
    </row>
    <row r="103" spans="1:3" ht="12.75" customHeight="1">
      <c r="A103" s="154"/>
      <c r="B103" s="1" t="s">
        <v>280</v>
      </c>
    </row>
    <row r="104" spans="1:3" ht="12.75" customHeight="1">
      <c r="A104" s="154"/>
      <c r="B104" s="1" t="s">
        <v>289</v>
      </c>
    </row>
    <row r="105" spans="1:3">
      <c r="B105"/>
    </row>
    <row r="106" spans="1:3" ht="15">
      <c r="B106" s="112" t="s">
        <v>133</v>
      </c>
    </row>
    <row r="107" spans="1:3" ht="5.25" customHeight="1"/>
    <row r="108" spans="1:3">
      <c r="B108" s="1" t="s">
        <v>140</v>
      </c>
    </row>
    <row r="109" spans="1:3">
      <c r="B109" s="1" t="s">
        <v>141</v>
      </c>
    </row>
    <row r="110" spans="1:3" ht="5.25" customHeight="1"/>
    <row r="111" spans="1:3">
      <c r="C111" s="1" t="s">
        <v>142</v>
      </c>
    </row>
    <row r="112" spans="1:3">
      <c r="C112" s="1" t="s">
        <v>149</v>
      </c>
    </row>
    <row r="113" spans="2:3">
      <c r="C113" s="1" t="s">
        <v>143</v>
      </c>
    </row>
    <row r="114" spans="2:3">
      <c r="C114" s="1" t="s">
        <v>145</v>
      </c>
    </row>
    <row r="115" spans="2:3">
      <c r="C115" s="1" t="s">
        <v>150</v>
      </c>
    </row>
    <row r="116" spans="2:3">
      <c r="C116" s="1" t="s">
        <v>146</v>
      </c>
    </row>
    <row r="117" spans="2:3" ht="5.25" customHeight="1"/>
    <row r="118" spans="2:3">
      <c r="B118" s="1" t="s">
        <v>385</v>
      </c>
    </row>
    <row r="119" spans="2:3" ht="7.5" customHeight="1"/>
    <row r="120" spans="2:3">
      <c r="B120" s="1" t="s">
        <v>384</v>
      </c>
    </row>
    <row r="121" spans="2:3">
      <c r="B121" s="55" t="s">
        <v>383</v>
      </c>
    </row>
    <row r="122" spans="2:3" ht="4.5" customHeight="1"/>
    <row r="123" spans="2:3">
      <c r="B123" s="1" t="s">
        <v>144</v>
      </c>
    </row>
    <row r="124" spans="2:3">
      <c r="C124" s="1" t="s">
        <v>53</v>
      </c>
    </row>
    <row r="125" spans="2:3">
      <c r="C125" s="1" t="s">
        <v>54</v>
      </c>
    </row>
    <row r="126" spans="2:3">
      <c r="C126" s="1" t="s">
        <v>55</v>
      </c>
    </row>
    <row r="127" spans="2:3">
      <c r="C127" s="1" t="s">
        <v>56</v>
      </c>
    </row>
    <row r="128" spans="2:3" ht="14.25">
      <c r="C128" s="113" t="s">
        <v>57</v>
      </c>
    </row>
    <row r="129" spans="3:5">
      <c r="C129" s="1" t="s">
        <v>58</v>
      </c>
    </row>
    <row r="138" spans="3:5" ht="15">
      <c r="C138" s="115"/>
    </row>
    <row r="139" spans="3:5" ht="15">
      <c r="C139" s="116"/>
      <c r="E139" s="116"/>
    </row>
    <row r="140" spans="3:5" ht="15">
      <c r="C140" s="116"/>
      <c r="E140" s="116"/>
    </row>
    <row r="141" spans="3:5" ht="15">
      <c r="C141" s="116"/>
      <c r="E141" s="116"/>
    </row>
    <row r="142" spans="3:5" ht="15">
      <c r="C142" s="116"/>
      <c r="D142" s="116"/>
    </row>
    <row r="143" spans="3:5" ht="15">
      <c r="C143" s="116"/>
      <c r="D143" s="116"/>
    </row>
    <row r="144" spans="3:5" ht="15">
      <c r="C144" s="116"/>
    </row>
    <row r="147" spans="3:3" ht="15">
      <c r="C147" s="115"/>
    </row>
    <row r="148" spans="3:3">
      <c r="C148" s="117"/>
    </row>
  </sheetData>
  <sheetProtection password="8730" sheet="1" objects="1" scenarios="1"/>
  <protectedRanges>
    <protectedRange sqref="B5:B14" name="Range1"/>
  </protectedRanges>
  <hyperlinks>
    <hyperlink ref="C128" r:id="rId1"/>
    <hyperlink ref="B5" location="'1.Kukuruz'!A1" display="1.Kukuruz"/>
    <hyperlink ref="B6" location="'2.Pšenica'!A1" display="2.Pšenica"/>
    <hyperlink ref="B7" location="'3.Ječam'!A1" display="3.Ječam"/>
    <hyperlink ref="B8" location="'4.Soja'!A1" display="'4.Soja'!A1"/>
    <hyperlink ref="B9" location="'5.Suncokret'!A1" display="'5.Suncokret'!A1"/>
    <hyperlink ref="B10" location="'6.Ulj.repica'!A1" display="6.Uljana repica"/>
    <hyperlink ref="B11" location="'7.Š.Repa'!A1" display="7.Šećerna repa"/>
  </hyperlinks>
  <pageMargins left="0.7" right="0.7" top="0.75" bottom="0.75" header="0.3" footer="0.3"/>
  <pageSetup paperSize="9" scale="92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SheetLayoutView="100" workbookViewId="0"/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7.7109375" style="2" customWidth="1"/>
    <col min="6" max="6" width="12" style="2" customWidth="1"/>
    <col min="7" max="7" width="10" style="2" customWidth="1"/>
    <col min="8" max="8" width="14.28515625" style="2" bestFit="1" customWidth="1"/>
    <col min="9" max="9" width="10.42578125" style="2" customWidth="1"/>
    <col min="10" max="10" width="14.7109375" style="2" customWidth="1"/>
    <col min="11" max="11" width="2.42578125" style="2" customWidth="1"/>
    <col min="12" max="12" width="10.5703125" style="1" customWidth="1"/>
    <col min="13" max="14" width="2.28515625" style="2" customWidth="1"/>
    <col min="15" max="15" width="20.7109375" style="2" customWidth="1"/>
    <col min="16" max="18" width="9.140625" style="2"/>
    <col min="19" max="19" width="19.85546875" style="2" customWidth="1"/>
    <col min="20" max="80" width="9.140625" style="2"/>
    <col min="81" max="81" width="19.28515625" style="2" customWidth="1"/>
    <col min="82" max="89" width="9.140625" style="2"/>
    <col min="90" max="91" width="3" style="2" customWidth="1"/>
    <col min="92" max="92" width="19.5703125" style="2" customWidth="1"/>
    <col min="93" max="100" width="9.140625" style="2"/>
    <col min="101" max="103" width="3.42578125" style="2" customWidth="1"/>
    <col min="104" max="104" width="12.5703125" style="2" bestFit="1" customWidth="1"/>
    <col min="105" max="16384" width="9.140625" style="2"/>
  </cols>
  <sheetData>
    <row r="1" spans="2:18" ht="23.25">
      <c r="C1" s="73" t="s">
        <v>368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89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>
        <v>2018</v>
      </c>
      <c r="L4" s="18"/>
      <c r="O4" s="169" t="s">
        <v>298</v>
      </c>
      <c r="P4" s="170">
        <f t="shared" ref="P4:R5" si="0">+CI218</f>
        <v>121.00000000000001</v>
      </c>
      <c r="Q4" s="170">
        <f t="shared" si="0"/>
        <v>55</v>
      </c>
      <c r="R4" s="170">
        <f t="shared" si="0"/>
        <v>110</v>
      </c>
    </row>
    <row r="5" spans="2:18" ht="15.75" thickBot="1">
      <c r="L5" s="19"/>
      <c r="O5" s="171" t="s">
        <v>299</v>
      </c>
      <c r="P5" s="172">
        <f t="shared" si="0"/>
        <v>1.4999999999999858</v>
      </c>
      <c r="Q5" s="172">
        <f t="shared" si="0"/>
        <v>15</v>
      </c>
      <c r="R5" s="172">
        <f t="shared" si="0"/>
        <v>12.5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174" t="str">
        <f t="shared" ref="P6:R7" si="1">IF($J$9&gt;100,CT218,"0")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218" t="str">
        <f t="shared" si="1"/>
        <v>0</v>
      </c>
      <c r="Q7" s="219" t="str">
        <f t="shared" si="1"/>
        <v>0</v>
      </c>
      <c r="R7" s="219" t="str">
        <f t="shared" si="1"/>
        <v>0</v>
      </c>
    </row>
    <row r="8" spans="2:18" ht="15">
      <c r="B8" s="4" t="s">
        <v>8</v>
      </c>
      <c r="C8" s="28" t="s">
        <v>92</v>
      </c>
      <c r="E8" s="29">
        <v>1</v>
      </c>
      <c r="F8" s="74">
        <v>55000</v>
      </c>
      <c r="G8" s="95" t="s">
        <v>16</v>
      </c>
      <c r="H8" s="221">
        <v>5</v>
      </c>
      <c r="I8" s="95" t="s">
        <v>17</v>
      </c>
      <c r="J8" s="30">
        <f>E8*F8*H8</f>
        <v>275000</v>
      </c>
      <c r="L8" s="19"/>
    </row>
    <row r="9" spans="2:18" ht="15.75" thickBot="1">
      <c r="B9" s="4" t="s">
        <v>10</v>
      </c>
      <c r="C9" s="223" t="s">
        <v>353</v>
      </c>
      <c r="D9" s="3"/>
      <c r="E9" s="31">
        <v>1</v>
      </c>
      <c r="F9" s="90">
        <v>20</v>
      </c>
      <c r="G9" s="3" t="s">
        <v>2</v>
      </c>
      <c r="H9" s="222"/>
      <c r="I9" s="3" t="s">
        <v>9</v>
      </c>
      <c r="J9" s="32">
        <f>E9*F9*H9</f>
        <v>0</v>
      </c>
      <c r="L9" s="19"/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275000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42">
        <v>1.2</v>
      </c>
      <c r="G12" s="3" t="s">
        <v>14</v>
      </c>
      <c r="H12" s="43">
        <v>15500</v>
      </c>
      <c r="I12" s="3" t="s">
        <v>15</v>
      </c>
      <c r="J12" s="41">
        <f t="shared" ref="J12" si="2">E12*F12*H12</f>
        <v>18600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302</v>
      </c>
      <c r="E14" s="177">
        <v>1</v>
      </c>
      <c r="F14" s="43">
        <v>0</v>
      </c>
      <c r="G14" s="3" t="s">
        <v>62</v>
      </c>
      <c r="H14" s="57">
        <v>0</v>
      </c>
      <c r="I14" s="3" t="s">
        <v>17</v>
      </c>
      <c r="J14" s="41">
        <f>H14*F14*IF(E14=1,0.5, IF(E14=2,0.3,IF(E14=3,0.2,"0")))</f>
        <v>0</v>
      </c>
      <c r="L14" s="19" t="s">
        <v>303</v>
      </c>
    </row>
    <row r="15" spans="2:18">
      <c r="D15" s="44" t="s">
        <v>315</v>
      </c>
      <c r="E15" s="56">
        <v>1</v>
      </c>
      <c r="F15" s="43">
        <v>350</v>
      </c>
      <c r="G15" s="3" t="s">
        <v>62</v>
      </c>
      <c r="H15" s="57">
        <v>40</v>
      </c>
      <c r="I15" s="3" t="s">
        <v>17</v>
      </c>
      <c r="J15" s="41">
        <f t="shared" ref="J15:J47" si="3">E15*F15*H15</f>
        <v>14000</v>
      </c>
      <c r="L15" s="19"/>
    </row>
    <row r="16" spans="2:18">
      <c r="D16" s="44"/>
      <c r="E16" s="56">
        <v>1</v>
      </c>
      <c r="F16" s="43"/>
      <c r="G16" s="3" t="s">
        <v>62</v>
      </c>
      <c r="H16" s="57"/>
      <c r="I16" s="3" t="s">
        <v>17</v>
      </c>
      <c r="J16" s="41">
        <f t="shared" si="3"/>
        <v>0</v>
      </c>
      <c r="L16" s="19"/>
    </row>
    <row r="17" spans="2:18">
      <c r="D17" s="44"/>
      <c r="E17" s="56">
        <v>1</v>
      </c>
      <c r="F17" s="43"/>
      <c r="G17" s="3" t="s">
        <v>62</v>
      </c>
      <c r="H17" s="57"/>
      <c r="I17" s="3" t="s">
        <v>17</v>
      </c>
      <c r="J17" s="41">
        <f t="shared" si="3"/>
        <v>0</v>
      </c>
      <c r="L17" s="19"/>
    </row>
    <row r="18" spans="2:18">
      <c r="D18" s="44"/>
      <c r="E18" s="56">
        <v>1</v>
      </c>
      <c r="F18" s="43"/>
      <c r="G18" s="3" t="s">
        <v>62</v>
      </c>
      <c r="H18" s="57"/>
      <c r="I18" s="3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/>
      <c r="G19" s="3" t="s">
        <v>62</v>
      </c>
      <c r="H19" s="57"/>
      <c r="I19" s="3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 t="s">
        <v>357</v>
      </c>
      <c r="E20" s="56">
        <v>1</v>
      </c>
      <c r="F20" s="43">
        <v>350</v>
      </c>
      <c r="G20" s="3" t="s">
        <v>62</v>
      </c>
      <c r="H20" s="57">
        <v>40</v>
      </c>
      <c r="I20" s="3" t="s">
        <v>17</v>
      </c>
      <c r="J20" s="41">
        <f t="shared" si="3"/>
        <v>14000</v>
      </c>
      <c r="L20" s="180" t="s">
        <v>308</v>
      </c>
      <c r="P20" s="181">
        <v>0.2</v>
      </c>
      <c r="Q20" s="181">
        <v>0.05</v>
      </c>
      <c r="R20" s="181">
        <v>0.2</v>
      </c>
    </row>
    <row r="21" spans="2:18">
      <c r="D21" s="179"/>
      <c r="E21" s="56">
        <v>1</v>
      </c>
      <c r="F21" s="43"/>
      <c r="G21" s="3" t="s">
        <v>62</v>
      </c>
      <c r="H21" s="57"/>
      <c r="I21" s="3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G22" s="3"/>
      <c r="I22" s="3"/>
      <c r="J22" s="41"/>
      <c r="L22" s="19"/>
    </row>
    <row r="23" spans="2:18">
      <c r="D23" s="44" t="s">
        <v>93</v>
      </c>
      <c r="E23" s="56">
        <v>1</v>
      </c>
      <c r="F23" s="57">
        <v>3.2</v>
      </c>
      <c r="G23" s="3" t="s">
        <v>59</v>
      </c>
      <c r="H23" s="90">
        <v>4000</v>
      </c>
      <c r="I23" s="3" t="s">
        <v>25</v>
      </c>
      <c r="J23" s="41">
        <f t="shared" si="3"/>
        <v>12800</v>
      </c>
      <c r="L23" s="19"/>
    </row>
    <row r="24" spans="2:18">
      <c r="D24" s="44" t="s">
        <v>94</v>
      </c>
      <c r="E24" s="56">
        <v>1</v>
      </c>
      <c r="F24" s="57">
        <v>3</v>
      </c>
      <c r="G24" s="3" t="s">
        <v>59</v>
      </c>
      <c r="H24" s="43">
        <v>2500</v>
      </c>
      <c r="I24" s="3" t="s">
        <v>25</v>
      </c>
      <c r="J24" s="41">
        <f t="shared" si="3"/>
        <v>7500</v>
      </c>
      <c r="L24" s="19"/>
    </row>
    <row r="25" spans="2:18">
      <c r="D25" s="44" t="s">
        <v>95</v>
      </c>
      <c r="E25" s="56">
        <v>1</v>
      </c>
      <c r="F25" s="57">
        <v>1.3</v>
      </c>
      <c r="G25" s="3" t="s">
        <v>59</v>
      </c>
      <c r="H25" s="43">
        <v>3500</v>
      </c>
      <c r="I25" s="3" t="s">
        <v>25</v>
      </c>
      <c r="J25" s="41">
        <f t="shared" si="3"/>
        <v>4550</v>
      </c>
      <c r="L25" s="19"/>
    </row>
    <row r="26" spans="2:18">
      <c r="D26" s="44" t="s">
        <v>96</v>
      </c>
      <c r="E26" s="56">
        <v>1</v>
      </c>
      <c r="F26" s="57">
        <v>50</v>
      </c>
      <c r="G26" s="3" t="s">
        <v>97</v>
      </c>
      <c r="H26" s="43">
        <v>115</v>
      </c>
      <c r="I26" s="3" t="s">
        <v>98</v>
      </c>
      <c r="J26" s="41">
        <f t="shared" si="3"/>
        <v>5750</v>
      </c>
      <c r="L26" s="19"/>
    </row>
    <row r="27" spans="2:18">
      <c r="D27" s="44" t="s">
        <v>99</v>
      </c>
      <c r="E27" s="56">
        <v>1</v>
      </c>
      <c r="F27" s="57">
        <v>1.2</v>
      </c>
      <c r="G27" s="3" t="s">
        <v>59</v>
      </c>
      <c r="H27" s="43">
        <v>3100</v>
      </c>
      <c r="I27" s="3" t="s">
        <v>25</v>
      </c>
      <c r="J27" s="41">
        <f t="shared" si="3"/>
        <v>3720</v>
      </c>
      <c r="L27" s="19"/>
    </row>
    <row r="28" spans="2:18">
      <c r="D28" s="44" t="s">
        <v>100</v>
      </c>
      <c r="E28" s="56">
        <v>1</v>
      </c>
      <c r="F28" s="57">
        <v>0.8</v>
      </c>
      <c r="G28" s="3" t="s">
        <v>59</v>
      </c>
      <c r="H28" s="43">
        <v>4700</v>
      </c>
      <c r="I28" s="3" t="s">
        <v>25</v>
      </c>
      <c r="J28" s="41">
        <f t="shared" si="3"/>
        <v>3760</v>
      </c>
      <c r="L28" s="19"/>
    </row>
    <row r="29" spans="2:18">
      <c r="D29" s="44" t="s">
        <v>101</v>
      </c>
      <c r="E29" s="56">
        <v>1</v>
      </c>
      <c r="F29" s="57">
        <v>5</v>
      </c>
      <c r="G29" s="3" t="s">
        <v>62</v>
      </c>
      <c r="H29" s="43">
        <v>750</v>
      </c>
      <c r="I29" s="3" t="s">
        <v>17</v>
      </c>
      <c r="J29" s="41">
        <f t="shared" si="3"/>
        <v>3750</v>
      </c>
      <c r="L29" s="19"/>
    </row>
    <row r="30" spans="2:18">
      <c r="D30" s="44" t="s">
        <v>102</v>
      </c>
      <c r="E30" s="56">
        <v>1</v>
      </c>
      <c r="F30" s="57">
        <v>2.5</v>
      </c>
      <c r="G30" s="3" t="s">
        <v>59</v>
      </c>
      <c r="H30" s="43">
        <v>1400</v>
      </c>
      <c r="I30" s="3" t="s">
        <v>25</v>
      </c>
      <c r="J30" s="41">
        <f t="shared" si="3"/>
        <v>3500</v>
      </c>
      <c r="L30" s="19"/>
    </row>
    <row r="31" spans="2:18">
      <c r="D31" s="44" t="s">
        <v>103</v>
      </c>
      <c r="E31" s="56">
        <v>1</v>
      </c>
      <c r="F31" s="57">
        <v>0.3</v>
      </c>
      <c r="G31" s="3" t="s">
        <v>59</v>
      </c>
      <c r="H31" s="43">
        <v>9500</v>
      </c>
      <c r="I31" s="3" t="s">
        <v>25</v>
      </c>
      <c r="J31" s="41">
        <f t="shared" si="3"/>
        <v>2850</v>
      </c>
      <c r="L31" s="19"/>
    </row>
    <row r="32" spans="2:18">
      <c r="B32" s="8" t="s">
        <v>24</v>
      </c>
      <c r="C32" s="2" t="s">
        <v>36</v>
      </c>
      <c r="E32" s="23"/>
      <c r="H32" s="6"/>
      <c r="J32" s="41"/>
      <c r="L32" s="19"/>
    </row>
    <row r="33" spans="2:12">
      <c r="C33" s="9" t="s">
        <v>40</v>
      </c>
      <c r="D33" s="15" t="s">
        <v>40</v>
      </c>
      <c r="E33" s="31">
        <v>3</v>
      </c>
      <c r="F33" s="57">
        <v>15</v>
      </c>
      <c r="G33" s="2" t="s">
        <v>59</v>
      </c>
      <c r="H33" s="43">
        <v>145</v>
      </c>
      <c r="I33" s="2" t="s">
        <v>25</v>
      </c>
      <c r="J33" s="41">
        <f t="shared" si="3"/>
        <v>6525</v>
      </c>
      <c r="L33" s="19" t="s">
        <v>309</v>
      </c>
    </row>
    <row r="34" spans="2:12">
      <c r="B34" s="8" t="s">
        <v>26</v>
      </c>
      <c r="C34" s="2" t="s">
        <v>38</v>
      </c>
      <c r="E34" s="31">
        <v>1</v>
      </c>
      <c r="F34" s="57">
        <v>115</v>
      </c>
      <c r="G34" s="2" t="s">
        <v>59</v>
      </c>
      <c r="H34" s="43">
        <f>+Resursi!G30</f>
        <v>145</v>
      </c>
      <c r="I34" s="2" t="s">
        <v>25</v>
      </c>
      <c r="J34" s="41">
        <f t="shared" si="3"/>
        <v>16675</v>
      </c>
      <c r="L34" s="19"/>
    </row>
    <row r="35" spans="2:12">
      <c r="B35" s="8" t="s">
        <v>29</v>
      </c>
      <c r="C35" s="2" t="s">
        <v>39</v>
      </c>
      <c r="E35" s="31">
        <v>1</v>
      </c>
      <c r="F35" s="2">
        <v>1</v>
      </c>
      <c r="G35" s="2" t="s">
        <v>1</v>
      </c>
      <c r="H35" s="6">
        <f>Resursi!G15*(F34+F33*E33)</f>
        <v>2307.6923076923076</v>
      </c>
      <c r="I35" s="2" t="s">
        <v>27</v>
      </c>
      <c r="J35" s="41">
        <f t="shared" si="3"/>
        <v>2307.6923076923076</v>
      </c>
      <c r="L35" s="19"/>
    </row>
    <row r="36" spans="2:12">
      <c r="B36" s="8" t="s">
        <v>44</v>
      </c>
      <c r="C36" s="2" t="s">
        <v>42</v>
      </c>
      <c r="E36" s="23"/>
      <c r="H36" s="6"/>
      <c r="J36" s="41"/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35000</v>
      </c>
      <c r="I37" s="2" t="s">
        <v>27</v>
      </c>
      <c r="J37" s="41">
        <f t="shared" si="3"/>
        <v>35000</v>
      </c>
      <c r="L37" s="19"/>
    </row>
    <row r="38" spans="2:12">
      <c r="B38" s="8"/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B39" s="8"/>
      <c r="C39" s="58"/>
      <c r="D39" s="59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/>
      <c r="C40" s="58"/>
      <c r="D40" s="59"/>
      <c r="E40" s="56">
        <v>1</v>
      </c>
      <c r="F40" s="57"/>
      <c r="G40" s="2" t="s">
        <v>1</v>
      </c>
      <c r="H40" s="43"/>
      <c r="I40" s="2" t="s">
        <v>27</v>
      </c>
      <c r="J40" s="41">
        <f t="shared" si="3"/>
        <v>0</v>
      </c>
      <c r="L40" s="19"/>
    </row>
    <row r="41" spans="2:12">
      <c r="C41" s="58"/>
      <c r="D41" s="59"/>
      <c r="E41" s="56">
        <v>1</v>
      </c>
      <c r="F41" s="57"/>
      <c r="G41" s="2" t="s">
        <v>1</v>
      </c>
      <c r="H41" s="43"/>
      <c r="I41" s="2" t="s">
        <v>27</v>
      </c>
      <c r="J41" s="41">
        <f t="shared" si="3"/>
        <v>0</v>
      </c>
      <c r="L41" s="19"/>
    </row>
    <row r="42" spans="2:12">
      <c r="C42" s="60"/>
      <c r="D42" s="57"/>
      <c r="E42" s="56">
        <v>1</v>
      </c>
      <c r="F42" s="57"/>
      <c r="G42" s="2" t="s">
        <v>1</v>
      </c>
      <c r="H42" s="43"/>
      <c r="I42" s="2" t="s">
        <v>27</v>
      </c>
      <c r="J42" s="41">
        <f t="shared" si="3"/>
        <v>0</v>
      </c>
      <c r="L42" s="19"/>
    </row>
    <row r="43" spans="2:12">
      <c r="B43" s="8" t="s">
        <v>46</v>
      </c>
      <c r="C43" s="2" t="s">
        <v>41</v>
      </c>
      <c r="E43" s="56">
        <v>1</v>
      </c>
      <c r="F43" s="57">
        <v>0</v>
      </c>
      <c r="G43" s="2" t="s">
        <v>66</v>
      </c>
      <c r="H43" s="43">
        <v>0</v>
      </c>
      <c r="I43" s="2" t="s">
        <v>70</v>
      </c>
      <c r="J43" s="41">
        <f t="shared" si="3"/>
        <v>0</v>
      </c>
      <c r="L43" s="19" t="s">
        <v>341</v>
      </c>
    </row>
    <row r="44" spans="2:12">
      <c r="B44" s="8" t="s">
        <v>50</v>
      </c>
      <c r="C44" s="2" t="s">
        <v>126</v>
      </c>
      <c r="E44" s="23"/>
      <c r="H44" s="6"/>
      <c r="J44" s="41"/>
      <c r="L44" s="19"/>
    </row>
    <row r="45" spans="2:12">
      <c r="D45" s="57" t="s">
        <v>61</v>
      </c>
      <c r="E45" s="31">
        <v>1</v>
      </c>
      <c r="F45" s="43">
        <v>55000</v>
      </c>
      <c r="G45" s="2" t="s">
        <v>62</v>
      </c>
      <c r="H45" s="90">
        <v>0</v>
      </c>
      <c r="I45" s="2" t="s">
        <v>17</v>
      </c>
      <c r="J45" s="41">
        <f t="shared" si="3"/>
        <v>0</v>
      </c>
      <c r="L45" s="19"/>
    </row>
    <row r="46" spans="2:12">
      <c r="D46" s="57"/>
      <c r="E46" s="31">
        <v>1</v>
      </c>
      <c r="F46" s="43">
        <v>55000</v>
      </c>
      <c r="G46" s="2" t="s">
        <v>62</v>
      </c>
      <c r="H46" s="90">
        <v>0</v>
      </c>
      <c r="I46" s="2" t="s">
        <v>17</v>
      </c>
      <c r="J46" s="41">
        <f t="shared" si="3"/>
        <v>0</v>
      </c>
      <c r="L46" s="19"/>
    </row>
    <row r="47" spans="2:12" ht="15" thickBot="1">
      <c r="B47" s="2" t="s">
        <v>51</v>
      </c>
      <c r="C47" s="58" t="s">
        <v>155</v>
      </c>
      <c r="D47" s="3"/>
      <c r="E47" s="56">
        <v>1</v>
      </c>
      <c r="F47" s="104">
        <v>1</v>
      </c>
      <c r="G47" s="3" t="s">
        <v>1</v>
      </c>
      <c r="H47" s="43">
        <v>3000</v>
      </c>
      <c r="I47" s="2" t="s">
        <v>27</v>
      </c>
      <c r="J47" s="41">
        <f t="shared" si="3"/>
        <v>3000</v>
      </c>
      <c r="L47" s="19"/>
    </row>
    <row r="48" spans="2:12" ht="15.75" thickBot="1">
      <c r="B48" s="33"/>
      <c r="C48" s="34" t="s">
        <v>67</v>
      </c>
      <c r="D48" s="35"/>
      <c r="E48" s="35"/>
      <c r="F48" s="36"/>
      <c r="G48" s="37"/>
      <c r="H48" s="36"/>
      <c r="I48" s="37"/>
      <c r="J48" s="38">
        <f>SUM(J12:J47)</f>
        <v>158287.69230769231</v>
      </c>
      <c r="L48" s="19"/>
    </row>
    <row r="49" spans="2:12" ht="15.75" thickBot="1">
      <c r="B49" s="61" t="s">
        <v>69</v>
      </c>
      <c r="C49" s="62" t="s">
        <v>68</v>
      </c>
      <c r="D49" s="62"/>
      <c r="E49" s="63"/>
      <c r="F49" s="63"/>
      <c r="G49" s="63"/>
      <c r="H49" s="64"/>
      <c r="I49" s="63"/>
      <c r="J49" s="21">
        <f>J10-J48</f>
        <v>116712.30769230769</v>
      </c>
      <c r="L49" s="19"/>
    </row>
    <row r="50" spans="2:12" ht="16.5" thickTop="1" thickBot="1">
      <c r="B50" s="61" t="s">
        <v>311</v>
      </c>
      <c r="C50" s="62" t="s">
        <v>312</v>
      </c>
      <c r="D50" s="62"/>
      <c r="E50" s="63"/>
      <c r="F50" s="63"/>
      <c r="G50" s="63"/>
      <c r="H50" s="64"/>
      <c r="I50" s="63"/>
      <c r="J50" s="21">
        <f>J10-J48+IF(J9&gt;100,CO224,IF(J9&lt;100,CD224,"0"))</f>
        <v>118597.35284280936</v>
      </c>
      <c r="L50" s="55"/>
    </row>
    <row r="51" spans="2:12" ht="15" thickTop="1"/>
    <row r="52" spans="2:12" ht="15.75" thickBot="1">
      <c r="C52" s="80" t="s">
        <v>125</v>
      </c>
      <c r="D52" s="81"/>
      <c r="E52" s="81"/>
      <c r="F52" s="81"/>
      <c r="G52" s="81"/>
      <c r="H52" s="81"/>
    </row>
    <row r="53" spans="2:12" ht="15" thickBot="1"/>
    <row r="54" spans="2:12" ht="15.75" thickTop="1">
      <c r="C54" s="65" t="s">
        <v>7</v>
      </c>
      <c r="D54" s="66"/>
      <c r="E54" s="66"/>
      <c r="F54" s="67" t="s">
        <v>72</v>
      </c>
    </row>
    <row r="55" spans="2:12">
      <c r="C55" s="45" t="s">
        <v>92</v>
      </c>
      <c r="F55" s="6">
        <f>J8</f>
        <v>275000</v>
      </c>
    </row>
    <row r="56" spans="2:12" ht="15" thickBot="1">
      <c r="C56" s="46"/>
      <c r="F56" s="6">
        <f>J9</f>
        <v>0</v>
      </c>
    </row>
    <row r="57" spans="2:12" ht="15.75" thickBot="1">
      <c r="B57" s="47"/>
      <c r="C57" s="34" t="s">
        <v>32</v>
      </c>
      <c r="D57" s="35"/>
      <c r="E57" s="35"/>
      <c r="F57" s="48">
        <f>J10</f>
        <v>275000</v>
      </c>
    </row>
    <row r="58" spans="2:12" ht="15">
      <c r="B58" s="47"/>
      <c r="C58" s="22" t="s">
        <v>12</v>
      </c>
      <c r="F58" s="6"/>
    </row>
    <row r="59" spans="2:12">
      <c r="C59" s="46" t="s">
        <v>13</v>
      </c>
      <c r="F59" s="6">
        <f>J12</f>
        <v>18600</v>
      </c>
    </row>
    <row r="60" spans="2:12">
      <c r="C60" s="46" t="s">
        <v>71</v>
      </c>
      <c r="F60" s="6">
        <f>SUM(J14:J21)</f>
        <v>28000</v>
      </c>
    </row>
    <row r="61" spans="2:12">
      <c r="C61" s="46" t="s">
        <v>19</v>
      </c>
      <c r="F61" s="6">
        <f>SUM(J23:J31)</f>
        <v>48180</v>
      </c>
    </row>
    <row r="62" spans="2:12">
      <c r="C62" s="46" t="s">
        <v>36</v>
      </c>
      <c r="F62" s="6">
        <f>J33</f>
        <v>6525</v>
      </c>
    </row>
    <row r="63" spans="2:12">
      <c r="C63" s="46" t="s">
        <v>38</v>
      </c>
      <c r="F63" s="6">
        <f>J34</f>
        <v>16675</v>
      </c>
    </row>
    <row r="64" spans="2:12">
      <c r="C64" s="46" t="s">
        <v>39</v>
      </c>
      <c r="F64" s="6">
        <f>J35</f>
        <v>2307.6923076923076</v>
      </c>
    </row>
    <row r="65" spans="3:6">
      <c r="C65" s="46" t="s">
        <v>42</v>
      </c>
      <c r="F65" s="6">
        <f>SUM(J37:J42)</f>
        <v>35000</v>
      </c>
    </row>
    <row r="66" spans="3:6">
      <c r="C66" s="46" t="s">
        <v>37</v>
      </c>
      <c r="F66" s="6">
        <f>J43</f>
        <v>0</v>
      </c>
    </row>
    <row r="67" spans="3:6">
      <c r="C67" s="46" t="s">
        <v>126</v>
      </c>
      <c r="F67" s="6">
        <f>SUM(J45:J46)</f>
        <v>0</v>
      </c>
    </row>
    <row r="68" spans="3:6" ht="15" thickBot="1">
      <c r="C68" s="103" t="s">
        <v>155</v>
      </c>
      <c r="F68" s="6">
        <f>J47</f>
        <v>3000</v>
      </c>
    </row>
    <row r="69" spans="3:6" ht="15.75" thickBot="1">
      <c r="C69" s="34" t="s">
        <v>67</v>
      </c>
      <c r="D69" s="35"/>
      <c r="E69" s="35"/>
      <c r="F69" s="48">
        <f>SUM(F59:F68)</f>
        <v>158287.69230769231</v>
      </c>
    </row>
    <row r="70" spans="3:6" ht="15.75" thickBot="1">
      <c r="C70" s="62" t="s">
        <v>30</v>
      </c>
      <c r="D70" s="63"/>
      <c r="E70" s="63"/>
      <c r="F70" s="68">
        <f>F57-F69</f>
        <v>116712.30769230769</v>
      </c>
    </row>
    <row r="71" spans="3:6" ht="15.75" thickTop="1">
      <c r="C71" s="87"/>
      <c r="D71" s="88"/>
      <c r="E71" s="88"/>
      <c r="F71" s="54"/>
    </row>
    <row r="96" spans="4:10" ht="15.75" thickBot="1">
      <c r="D96" s="80" t="s">
        <v>110</v>
      </c>
      <c r="E96" s="81"/>
      <c r="F96" s="81"/>
      <c r="G96" s="81"/>
      <c r="H96" s="81"/>
      <c r="I96" s="81"/>
      <c r="J96" s="81"/>
    </row>
    <row r="98" spans="4:10" ht="15.75" thickBot="1">
      <c r="D98" s="10"/>
      <c r="E98" s="11"/>
      <c r="F98" s="12"/>
      <c r="G98" s="49"/>
      <c r="H98" s="49" t="s">
        <v>106</v>
      </c>
      <c r="I98" s="49"/>
      <c r="J98" s="70"/>
    </row>
    <row r="99" spans="4:10">
      <c r="D99" s="13"/>
      <c r="E99" s="14"/>
      <c r="F99" s="100">
        <v>-0.2</v>
      </c>
      <c r="G99" s="100">
        <v>-0.1</v>
      </c>
      <c r="H99" s="50" t="s">
        <v>75</v>
      </c>
      <c r="I99" s="100">
        <v>0.1</v>
      </c>
      <c r="J99" s="101">
        <v>0.2</v>
      </c>
    </row>
    <row r="100" spans="4:10" ht="15.75" thickBot="1">
      <c r="D100" s="51" t="s">
        <v>74</v>
      </c>
      <c r="E100" s="52"/>
      <c r="F100" s="83">
        <f>H100*(1+F99)</f>
        <v>4</v>
      </c>
      <c r="G100" s="83">
        <f>H100*(1+G99)</f>
        <v>4.5</v>
      </c>
      <c r="H100" s="83">
        <f>H8</f>
        <v>5</v>
      </c>
      <c r="I100" s="84">
        <f>$H$100*(1+I99)</f>
        <v>5.5</v>
      </c>
      <c r="J100" s="85">
        <f>$H$100*(1+J99)</f>
        <v>6</v>
      </c>
    </row>
    <row r="101" spans="4:10" ht="15">
      <c r="D101" s="98">
        <v>-0.2</v>
      </c>
      <c r="E101" s="53">
        <f>$E$103*(1+D101)</f>
        <v>44000</v>
      </c>
      <c r="F101" s="79">
        <f>$H$101-$E$101*($H$100-F100)</f>
        <v>19597.352842809356</v>
      </c>
      <c r="G101" s="79">
        <f>$H$101-$E$101*($H$100-G100)</f>
        <v>41597.352842809356</v>
      </c>
      <c r="H101" s="79">
        <f>$H$103-($E$103-E101)*$H$100</f>
        <v>63597.352842809356</v>
      </c>
      <c r="I101" s="75">
        <f>$H$101+$E$101*(I100-$H$100)</f>
        <v>85597.352842809356</v>
      </c>
      <c r="J101" s="76">
        <f>$H$101+$E$101*(J100-$H$100)</f>
        <v>107597.35284280936</v>
      </c>
    </row>
    <row r="102" spans="4:10" ht="15">
      <c r="D102" s="98">
        <v>-0.1</v>
      </c>
      <c r="E102" s="53">
        <f>$E$103*(1+D102)</f>
        <v>49500</v>
      </c>
      <c r="F102" s="79">
        <f>$H$102-$E$102*($H$100-F100)</f>
        <v>41597.352842809356</v>
      </c>
      <c r="G102" s="79">
        <f>$H$102-$E$102*($H$100-G100)</f>
        <v>66347.352842809356</v>
      </c>
      <c r="H102" s="79">
        <f>$H$103-($E$103-E102)*$H$100</f>
        <v>91097.352842809356</v>
      </c>
      <c r="I102" s="79">
        <f>$H$102+$E$102*(I100-$H$100)</f>
        <v>115847.35284280936</v>
      </c>
      <c r="J102" s="82">
        <f>$H$102+$E$102*(J100-$H$100)</f>
        <v>140597.35284280934</v>
      </c>
    </row>
    <row r="103" spans="4:10" ht="15">
      <c r="D103" s="16" t="s">
        <v>31</v>
      </c>
      <c r="E103" s="53">
        <f>F8</f>
        <v>55000</v>
      </c>
      <c r="F103" s="79">
        <f>$H$103-$E$103*($H$100-F100)</f>
        <v>63597.352842809356</v>
      </c>
      <c r="G103" s="79">
        <f>$H$103-$E$103*($H$100-G100)</f>
        <v>91097.352842809356</v>
      </c>
      <c r="H103" s="54">
        <f>J50</f>
        <v>118597.35284280936</v>
      </c>
      <c r="I103" s="75">
        <f>$H$103+$E$103*(I100-$H$100)</f>
        <v>146097.35284280934</v>
      </c>
      <c r="J103" s="76">
        <f>$H$103+$E$103*(J100-$H$100)</f>
        <v>173597.35284280934</v>
      </c>
    </row>
    <row r="104" spans="4:10" ht="15">
      <c r="D104" s="98">
        <v>0.1</v>
      </c>
      <c r="E104" s="69">
        <f>$E$103*(1+D104)</f>
        <v>60500.000000000007</v>
      </c>
      <c r="F104" s="75">
        <f>$H$104-$E$104*($H$100-F100)</f>
        <v>85597.3528428094</v>
      </c>
      <c r="G104" s="75">
        <f>$H$104-$E$104*($H$100-G100)</f>
        <v>115847.3528428094</v>
      </c>
      <c r="H104" s="79">
        <f>$H$103-($E$103-E104)*$H$100</f>
        <v>146097.3528428094</v>
      </c>
      <c r="I104" s="75">
        <f>$H$104+$E$104*(I100-$H$100)</f>
        <v>176347.3528428094</v>
      </c>
      <c r="J104" s="76">
        <f>$H$104+$E$104*(J100-$H$100)</f>
        <v>206597.3528428094</v>
      </c>
    </row>
    <row r="105" spans="4:10" ht="15">
      <c r="D105" s="99">
        <v>0.2</v>
      </c>
      <c r="E105" s="71">
        <f>$E$103*(1+D105)</f>
        <v>66000</v>
      </c>
      <c r="F105" s="77">
        <f>$H$105-$E$105*($H$100-F100)</f>
        <v>107597.35284280934</v>
      </c>
      <c r="G105" s="77">
        <f>$H$105-$E$105*($H$100-G100)</f>
        <v>140597.35284280934</v>
      </c>
      <c r="H105" s="86">
        <f>$H$103-($E$103-E105)*$H$100</f>
        <v>173597.35284280934</v>
      </c>
      <c r="I105" s="77">
        <f>$H$105+$E$105*(I100-$H$100)</f>
        <v>206597.35284280934</v>
      </c>
      <c r="J105" s="78">
        <f>$H$105+$E$105*(J100-$H$100)</f>
        <v>239597.35284280934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15:15:15</v>
      </c>
      <c r="CD206" s="191">
        <f>+F15</f>
        <v>350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52.5</v>
      </c>
      <c r="CJ206">
        <f t="shared" ref="CJ206:CK212" si="4">$CD206*CG206</f>
        <v>52.5</v>
      </c>
      <c r="CK206">
        <f t="shared" si="4"/>
        <v>52.5</v>
      </c>
      <c r="CL206"/>
      <c r="CM206"/>
      <c r="CN206" s="193" t="str">
        <f>D15</f>
        <v>NPK 15:15:15</v>
      </c>
      <c r="CO206" s="191">
        <f>+F15</f>
        <v>350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52.5</v>
      </c>
      <c r="CU206">
        <f>CO206*CR206</f>
        <v>52.5</v>
      </c>
      <c r="CV206">
        <f>CO206*CS206</f>
        <v>52.5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>
        <f t="shared" ref="CC207:CC212" si="5">+D16</f>
        <v>0</v>
      </c>
      <c r="CD207" s="191">
        <f t="shared" ref="CD207:CD212" si="6">+F16</f>
        <v>0</v>
      </c>
      <c r="CE207" t="s">
        <v>16</v>
      </c>
      <c r="CF207" s="192" t="str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0%</v>
      </c>
      <c r="CG207" s="192" t="str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0%</v>
      </c>
      <c r="CH207" s="192" t="str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0%</v>
      </c>
      <c r="CI207">
        <f>$CD207*CF207</f>
        <v>0</v>
      </c>
      <c r="CJ207">
        <f t="shared" si="4"/>
        <v>0</v>
      </c>
      <c r="CK207">
        <f t="shared" si="4"/>
        <v>0</v>
      </c>
      <c r="CL207"/>
      <c r="CM207"/>
      <c r="CN207" s="193">
        <f t="shared" ref="CN207:CN212" si="10">D16</f>
        <v>0</v>
      </c>
      <c r="CO207" s="191">
        <f t="shared" ref="CO207:CO212" si="11">+F16</f>
        <v>0</v>
      </c>
      <c r="CP207" t="s">
        <v>16</v>
      </c>
      <c r="CQ207" s="192" t="str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0%</v>
      </c>
      <c r="CR207" s="192" t="str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0%</v>
      </c>
      <c r="CS207" s="192" t="str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0%</v>
      </c>
      <c r="CT207">
        <f t="shared" ref="CT207:CT212" si="15">CO207*CQ207</f>
        <v>0</v>
      </c>
      <c r="CU207">
        <f t="shared" ref="CU207:CU212" si="16">CO207*CR207</f>
        <v>0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>
        <f t="shared" si="5"/>
        <v>0</v>
      </c>
      <c r="CD208" s="191">
        <f t="shared" si="6"/>
        <v>0</v>
      </c>
      <c r="CE208" t="s">
        <v>16</v>
      </c>
      <c r="CF208" s="192" t="str">
        <f t="shared" si="7"/>
        <v>0%</v>
      </c>
      <c r="CG208" s="192" t="str">
        <f t="shared" si="8"/>
        <v>0%</v>
      </c>
      <c r="CH208" s="192" t="str">
        <f t="shared" si="9"/>
        <v>0%</v>
      </c>
      <c r="CI208">
        <f t="shared" ref="CI208:CI212" si="18">$CD208*CF208</f>
        <v>0</v>
      </c>
      <c r="CJ208">
        <f t="shared" si="4"/>
        <v>0</v>
      </c>
      <c r="CK208">
        <f t="shared" si="4"/>
        <v>0</v>
      </c>
      <c r="CL208"/>
      <c r="CM208"/>
      <c r="CN208" s="193">
        <f t="shared" si="10"/>
        <v>0</v>
      </c>
      <c r="CO208" s="191">
        <f t="shared" si="11"/>
        <v>0</v>
      </c>
      <c r="CP208" t="s">
        <v>16</v>
      </c>
      <c r="CQ208" s="192" t="str">
        <f t="shared" si="12"/>
        <v>0%</v>
      </c>
      <c r="CR208" s="192" t="str">
        <f t="shared" si="13"/>
        <v>0%</v>
      </c>
      <c r="CS208" s="192" t="str">
        <f t="shared" si="14"/>
        <v>0%</v>
      </c>
      <c r="CT208">
        <f t="shared" si="15"/>
        <v>0</v>
      </c>
      <c r="CU208">
        <f t="shared" si="16"/>
        <v>0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 t="str">
        <f t="shared" si="5"/>
        <v>NPK 20:5:20</v>
      </c>
      <c r="CD211" s="191">
        <f t="shared" si="6"/>
        <v>350</v>
      </c>
      <c r="CE211" t="s">
        <v>16</v>
      </c>
      <c r="CF211" s="192">
        <f t="shared" ref="CF211:CH212" si="19">+P20</f>
        <v>0.2</v>
      </c>
      <c r="CG211" s="192">
        <f t="shared" si="19"/>
        <v>0.05</v>
      </c>
      <c r="CH211" s="192">
        <f t="shared" si="19"/>
        <v>0.2</v>
      </c>
      <c r="CI211">
        <f t="shared" si="18"/>
        <v>70</v>
      </c>
      <c r="CJ211">
        <f t="shared" si="4"/>
        <v>17.5</v>
      </c>
      <c r="CK211">
        <f t="shared" si="4"/>
        <v>70</v>
      </c>
      <c r="CL211"/>
      <c r="CM211"/>
      <c r="CN211" s="193" t="str">
        <f t="shared" si="10"/>
        <v>NPK 20:5:20</v>
      </c>
      <c r="CO211" s="191">
        <f t="shared" si="11"/>
        <v>350</v>
      </c>
      <c r="CP211" t="s">
        <v>16</v>
      </c>
      <c r="CQ211" s="197">
        <f t="shared" ref="CQ211:CS212" si="20">+P20</f>
        <v>0.2</v>
      </c>
      <c r="CR211" s="197">
        <f t="shared" si="20"/>
        <v>0.05</v>
      </c>
      <c r="CS211" s="197">
        <f t="shared" si="20"/>
        <v>0.2</v>
      </c>
      <c r="CT211">
        <f t="shared" si="15"/>
        <v>70</v>
      </c>
      <c r="CU211">
        <f t="shared" si="16"/>
        <v>17.5</v>
      </c>
      <c r="CV211">
        <f t="shared" si="17"/>
        <v>70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327</v>
      </c>
      <c r="CO213" s="191">
        <f>+F14/1000</f>
        <v>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328</v>
      </c>
      <c r="CD214" s="200">
        <f>+E14</f>
        <v>1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1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122.5</v>
      </c>
      <c r="CJ215">
        <f>SUM(CJ206:CJ214)</f>
        <v>70</v>
      </c>
      <c r="CK215">
        <f>SUM(CK206:CK214)</f>
        <v>122.5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122.5</v>
      </c>
      <c r="CU215">
        <f>SUM(CU206:CU214)</f>
        <v>70</v>
      </c>
      <c r="CV215">
        <f>SUM(CV206:CV214)</f>
        <v>122.5</v>
      </c>
    </row>
    <row r="216" spans="81:107">
      <c r="CC216" s="202" t="s">
        <v>358</v>
      </c>
      <c r="CD216" s="203">
        <f>+F8/1000</f>
        <v>55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358</v>
      </c>
      <c r="CO216" s="204">
        <f>+CD216</f>
        <v>55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2.2000000000000002</v>
      </c>
      <c r="CJ217" s="205">
        <v>1</v>
      </c>
      <c r="CK217" s="205">
        <v>2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4</v>
      </c>
      <c r="CU217" s="205">
        <v>2</v>
      </c>
      <c r="CV217" s="205">
        <v>6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121.00000000000001</v>
      </c>
      <c r="CJ218">
        <f>CD216*CJ217</f>
        <v>55</v>
      </c>
      <c r="CK218">
        <f>CD216*CK217</f>
        <v>110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220</v>
      </c>
      <c r="CU218">
        <f>CO216*CU217</f>
        <v>110</v>
      </c>
      <c r="CV218">
        <f>CO216*CV217</f>
        <v>330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1.4999999999999858</v>
      </c>
      <c r="CJ219" s="209">
        <f>CJ215-CJ218</f>
        <v>15</v>
      </c>
      <c r="CK219" s="210">
        <f>CK215-CK218</f>
        <v>12.5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-97.5</v>
      </c>
      <c r="CU219" s="210">
        <f>CU215-CU218</f>
        <v>-40</v>
      </c>
      <c r="CV219" s="210">
        <f>CV215-CV218</f>
        <v>-207.5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12">
        <f>+CI221</f>
        <v>73.91304347826086</v>
      </c>
      <c r="CU221" s="212">
        <f t="shared" ref="CU221:CV221" si="21">+CJ221</f>
        <v>90.168896321070235</v>
      </c>
      <c r="CV221" s="212">
        <f t="shared" si="21"/>
        <v>42.600936454849503</v>
      </c>
    </row>
    <row r="222" spans="81:107" ht="15">
      <c r="CC222" s="190" t="s">
        <v>334</v>
      </c>
      <c r="CD222" s="213">
        <f>SUMPRODUCT(CI221:CK221,CI215:CK215)</f>
        <v>20584.785284280937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20584.785284280937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18588.870568561873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40237.757190635457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1885.0451505016724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-12446.45016722408</v>
      </c>
      <c r="CP224"/>
      <c r="CQ224"/>
      <c r="CR224"/>
      <c r="CS224"/>
      <c r="CT224"/>
      <c r="CU224"/>
      <c r="CV224"/>
    </row>
  </sheetData>
  <sheetProtection password="8730" sheet="1" objects="1" scenarios="1"/>
  <protectedRanges>
    <protectedRange sqref="P20:R21" name="Range9"/>
    <protectedRange sqref="F8:I9" name="Range11"/>
    <protectedRange sqref="D104:D105" name="Range8_1"/>
    <protectedRange sqref="D101:D102" name="Range7_1"/>
    <protectedRange sqref="I99:J99" name="Range6_1"/>
    <protectedRange sqref="F4" name="Range1_1"/>
    <protectedRange sqref="D12:I47" name="Range3_1"/>
    <protectedRange sqref="L4:L49" name="Range4_1"/>
    <protectedRange sqref="F99:G99" name="Range5_1"/>
  </protectedRanges>
  <conditionalFormatting sqref="P5">
    <cfRule type="cellIs" dxfId="5" priority="6" operator="lessThan">
      <formula>0</formula>
    </cfRule>
  </conditionalFormatting>
  <conditionalFormatting sqref="Q5">
    <cfRule type="cellIs" dxfId="4" priority="5" operator="lessThan">
      <formula>0</formula>
    </cfRule>
  </conditionalFormatting>
  <conditionalFormatting sqref="R5">
    <cfRule type="cellIs" dxfId="3" priority="4" operator="lessThan">
      <formula>0</formula>
    </cfRule>
  </conditionalFormatting>
  <conditionalFormatting sqref="P7">
    <cfRule type="cellIs" dxfId="2" priority="3" operator="lessThan">
      <formula>0</formula>
    </cfRule>
  </conditionalFormatting>
  <conditionalFormatting sqref="Q7">
    <cfRule type="cellIs" dxfId="1" priority="2" operator="lessThan">
      <formula>0</formula>
    </cfRule>
  </conditionalFormatting>
  <conditionalFormatting sqref="R7">
    <cfRule type="cellIs" dxfId="0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3" orientation="portrait" r:id="rId1"/>
  <rowBreaks count="1" manualBreakCount="1">
    <brk id="48" max="9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B2:AB157"/>
  <sheetViews>
    <sheetView topLeftCell="A3" zoomScaleSheetLayoutView="100" workbookViewId="0">
      <selection activeCell="R34" sqref="R34"/>
    </sheetView>
  </sheetViews>
  <sheetFormatPr defaultRowHeight="12.75"/>
  <cols>
    <col min="1" max="1" width="2" customWidth="1"/>
    <col min="2" max="2" width="35.28515625" customWidth="1"/>
    <col min="3" max="3" width="9.7109375" customWidth="1"/>
    <col min="4" max="5" width="9" customWidth="1"/>
    <col min="6" max="7" width="8.5703125" customWidth="1"/>
    <col min="8" max="8" width="10.5703125" customWidth="1"/>
    <col min="9" max="9" width="9.85546875" customWidth="1"/>
    <col min="10" max="10" width="9" customWidth="1"/>
    <col min="11" max="11" width="14.7109375" customWidth="1"/>
    <col min="12" max="12" width="11.85546875" bestFit="1" customWidth="1"/>
    <col min="13" max="13" width="12" customWidth="1"/>
    <col min="14" max="14" width="14.5703125" customWidth="1"/>
    <col min="15" max="15" width="2.28515625" customWidth="1"/>
    <col min="16" max="16" width="2" hidden="1" customWidth="1"/>
    <col min="17" max="17" width="22.140625" customWidth="1"/>
    <col min="18" max="18" width="9.140625" customWidth="1"/>
    <col min="19" max="19" width="9.28515625" customWidth="1"/>
    <col min="20" max="20" width="9.140625" customWidth="1"/>
    <col min="21" max="21" width="10" customWidth="1"/>
    <col min="22" max="22" width="14.5703125" customWidth="1"/>
    <col min="23" max="23" width="18.85546875" bestFit="1" customWidth="1"/>
    <col min="24" max="28" width="10.5703125" customWidth="1"/>
  </cols>
  <sheetData>
    <row r="2" spans="2:28" ht="23.25">
      <c r="B2" s="73" t="s">
        <v>158</v>
      </c>
      <c r="Q2" s="22" t="s">
        <v>205</v>
      </c>
    </row>
    <row r="3" spans="2:28">
      <c r="B3" s="156" t="s">
        <v>283</v>
      </c>
      <c r="C3" s="157"/>
      <c r="D3" s="155" t="s">
        <v>151</v>
      </c>
      <c r="E3" s="155" t="s">
        <v>151</v>
      </c>
      <c r="F3" s="155" t="s">
        <v>151</v>
      </c>
      <c r="G3" s="155" t="s">
        <v>151</v>
      </c>
      <c r="H3" s="155" t="s">
        <v>151</v>
      </c>
      <c r="I3" s="155" t="s">
        <v>151</v>
      </c>
      <c r="J3" s="155" t="s">
        <v>151</v>
      </c>
      <c r="K3" s="155" t="s">
        <v>151</v>
      </c>
    </row>
    <row r="4" spans="2:28" ht="38.25">
      <c r="B4" s="123"/>
      <c r="C4" s="124" t="s">
        <v>159</v>
      </c>
      <c r="D4" s="124" t="s">
        <v>119</v>
      </c>
      <c r="E4" s="124" t="s">
        <v>109</v>
      </c>
      <c r="F4" s="124" t="s">
        <v>120</v>
      </c>
      <c r="G4" s="131" t="s">
        <v>108</v>
      </c>
      <c r="H4" s="131" t="s">
        <v>107</v>
      </c>
      <c r="I4" s="131" t="s">
        <v>371</v>
      </c>
      <c r="J4" s="131" t="s">
        <v>370</v>
      </c>
      <c r="K4" s="124" t="s">
        <v>176</v>
      </c>
      <c r="L4" s="124" t="s">
        <v>177</v>
      </c>
      <c r="M4" s="124" t="s">
        <v>178</v>
      </c>
      <c r="N4" s="124" t="s">
        <v>179</v>
      </c>
      <c r="P4" s="1" t="s">
        <v>151</v>
      </c>
      <c r="Q4" s="160"/>
      <c r="R4" s="140" t="s">
        <v>188</v>
      </c>
      <c r="S4" s="140" t="s">
        <v>209</v>
      </c>
      <c r="T4" s="140" t="s">
        <v>220</v>
      </c>
      <c r="U4" s="140" t="s">
        <v>204</v>
      </c>
      <c r="V4" s="140" t="s">
        <v>192</v>
      </c>
      <c r="W4" s="125" t="s">
        <v>290</v>
      </c>
    </row>
    <row r="5" spans="2:28" ht="15">
      <c r="B5" s="149" t="s">
        <v>68</v>
      </c>
      <c r="C5" s="149"/>
      <c r="D5" s="150">
        <f>SUMIF(D3,"da",'1.Kukuruz'!J47)</f>
        <v>76795</v>
      </c>
      <c r="E5" s="150">
        <f>SUMIF(E3,"da",'2.Pšenica'!J47)</f>
        <v>49684.584722408021</v>
      </c>
      <c r="F5" s="150">
        <f>SUMIF(F3,"da",'3.Ječam'!J47)</f>
        <v>55685.430535117062</v>
      </c>
      <c r="G5" s="151">
        <f>SUMIF(G3,"da",'4.Soja'!J47)</f>
        <v>83068.68765886288</v>
      </c>
      <c r="H5" s="151">
        <f>SUMIF(H3,"da",'5.Suncokret'!J47)</f>
        <v>66660.296020066904</v>
      </c>
      <c r="I5" s="151">
        <f>SUMIF(I3,"da",'6.Ulj.repica'!J47)</f>
        <v>77842.820066889617</v>
      </c>
      <c r="J5" s="151">
        <f>SUMIF(J3,"da",'7.Š.Repa'!J50)</f>
        <v>118597.35284280936</v>
      </c>
      <c r="K5" s="150">
        <f>SUMIF(K3,"Da",R22)</f>
        <v>2003.2243205895902</v>
      </c>
      <c r="L5" s="152" t="s">
        <v>207</v>
      </c>
      <c r="M5" s="2"/>
      <c r="N5" s="153">
        <f t="shared" ref="N5:N26" si="0">SUMPRODUCT($D$27:$K$27,D5:K5)</f>
        <v>0</v>
      </c>
      <c r="P5" s="1" t="s">
        <v>156</v>
      </c>
      <c r="Q5" s="125" t="s">
        <v>184</v>
      </c>
      <c r="R5" s="125" t="s">
        <v>216</v>
      </c>
      <c r="S5" s="125" t="s">
        <v>72</v>
      </c>
      <c r="T5" s="125" t="s">
        <v>217</v>
      </c>
      <c r="U5" s="125" t="s">
        <v>219</v>
      </c>
      <c r="V5" s="125" t="s">
        <v>218</v>
      </c>
      <c r="W5" s="161"/>
      <c r="X5" s="138"/>
      <c r="Z5" s="138"/>
      <c r="AA5" s="138"/>
      <c r="AB5" s="139"/>
    </row>
    <row r="6" spans="2:28" ht="15">
      <c r="B6" s="125" t="s">
        <v>180</v>
      </c>
      <c r="C6" s="125" t="s">
        <v>1</v>
      </c>
      <c r="D6" s="126">
        <v>1</v>
      </c>
      <c r="E6" s="126">
        <v>1</v>
      </c>
      <c r="F6" s="126">
        <v>1</v>
      </c>
      <c r="G6" s="129">
        <v>1</v>
      </c>
      <c r="H6" s="129">
        <v>1</v>
      </c>
      <c r="I6" s="129">
        <v>1</v>
      </c>
      <c r="J6" s="129">
        <v>1</v>
      </c>
      <c r="K6" s="126">
        <v>0</v>
      </c>
      <c r="L6" s="130" t="s">
        <v>208</v>
      </c>
      <c r="M6" s="126">
        <f>Resursi!$G$3</f>
        <v>25</v>
      </c>
      <c r="N6" s="153">
        <f t="shared" si="0"/>
        <v>0</v>
      </c>
      <c r="Q6" s="127" t="s">
        <v>43</v>
      </c>
      <c r="R6" s="128"/>
      <c r="S6" s="128"/>
      <c r="T6" s="128"/>
      <c r="U6" s="236">
        <f>+Resursi!G30</f>
        <v>145</v>
      </c>
      <c r="V6" s="159">
        <f>+Resursi!$G$15</f>
        <v>14.423076923076923</v>
      </c>
      <c r="W6" s="129">
        <f t="shared" ref="W6:W20" si="1">R6*S6-R6*T6*U6-T6*R6*V6</f>
        <v>0</v>
      </c>
      <c r="X6" s="138"/>
      <c r="Z6" s="138"/>
      <c r="AA6" s="138"/>
      <c r="AB6" s="138"/>
    </row>
    <row r="7" spans="2:28" ht="15">
      <c r="B7" s="125" t="s">
        <v>181</v>
      </c>
      <c r="C7" s="125" t="s">
        <v>182</v>
      </c>
      <c r="D7" s="133">
        <v>1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0" t="s">
        <v>208</v>
      </c>
      <c r="M7" s="128">
        <v>180</v>
      </c>
      <c r="N7" s="153">
        <f t="shared" si="0"/>
        <v>0</v>
      </c>
      <c r="Q7" s="127" t="s">
        <v>210</v>
      </c>
      <c r="R7" s="128">
        <v>10</v>
      </c>
      <c r="S7" s="128">
        <v>4500</v>
      </c>
      <c r="T7" s="128">
        <v>12</v>
      </c>
      <c r="U7" s="162">
        <v>145</v>
      </c>
      <c r="V7" s="162">
        <f>+Resursi!$G$15</f>
        <v>14.423076923076923</v>
      </c>
      <c r="W7" s="129">
        <f t="shared" si="1"/>
        <v>25869.23076923077</v>
      </c>
      <c r="X7" s="137"/>
      <c r="Z7" s="137"/>
      <c r="AA7" s="137"/>
      <c r="AB7" s="137"/>
    </row>
    <row r="8" spans="2:28" ht="15">
      <c r="B8" s="125" t="s">
        <v>183</v>
      </c>
      <c r="C8" s="125" t="s">
        <v>182</v>
      </c>
      <c r="D8" s="133">
        <v>0</v>
      </c>
      <c r="E8" s="133">
        <v>0.5</v>
      </c>
      <c r="F8" s="133">
        <v>0.5</v>
      </c>
      <c r="G8" s="133">
        <v>0</v>
      </c>
      <c r="H8" s="133">
        <v>0.5</v>
      </c>
      <c r="I8" s="133">
        <v>0.5</v>
      </c>
      <c r="J8" s="133">
        <v>0.5</v>
      </c>
      <c r="K8" s="133">
        <v>0</v>
      </c>
      <c r="L8" s="130" t="s">
        <v>208</v>
      </c>
      <c r="M8" s="128">
        <v>200</v>
      </c>
      <c r="N8" s="153">
        <f t="shared" si="0"/>
        <v>0</v>
      </c>
      <c r="Q8" s="127" t="s">
        <v>211</v>
      </c>
      <c r="R8" s="128"/>
      <c r="S8" s="128"/>
      <c r="T8" s="128"/>
      <c r="U8" s="162">
        <v>145</v>
      </c>
      <c r="V8" s="162">
        <f>+Resursi!$G$15</f>
        <v>14.423076923076923</v>
      </c>
      <c r="W8" s="129">
        <f t="shared" si="1"/>
        <v>0</v>
      </c>
      <c r="X8" s="137"/>
      <c r="Z8" s="137"/>
      <c r="AA8" s="137"/>
      <c r="AB8" s="137"/>
    </row>
    <row r="9" spans="2:28" ht="15">
      <c r="B9" s="125" t="s">
        <v>185</v>
      </c>
      <c r="C9" s="125" t="s">
        <v>182</v>
      </c>
      <c r="D9" s="133">
        <v>0.5</v>
      </c>
      <c r="E9" s="133">
        <v>0.5</v>
      </c>
      <c r="F9" s="133">
        <v>0.5</v>
      </c>
      <c r="G9" s="133">
        <v>2</v>
      </c>
      <c r="H9" s="133">
        <v>2</v>
      </c>
      <c r="I9" s="133">
        <v>3</v>
      </c>
      <c r="J9" s="133">
        <v>1</v>
      </c>
      <c r="K9" s="133">
        <v>0</v>
      </c>
      <c r="L9" s="130" t="s">
        <v>208</v>
      </c>
      <c r="M9" s="128">
        <v>180</v>
      </c>
      <c r="N9" s="153">
        <f t="shared" si="0"/>
        <v>0</v>
      </c>
      <c r="Q9" s="127" t="s">
        <v>212</v>
      </c>
      <c r="R9" s="128">
        <v>20</v>
      </c>
      <c r="S9" s="128">
        <v>2500</v>
      </c>
      <c r="T9" s="128">
        <v>5</v>
      </c>
      <c r="U9" s="162">
        <v>145</v>
      </c>
      <c r="V9" s="162">
        <f>+Resursi!$G$15</f>
        <v>14.423076923076923</v>
      </c>
      <c r="W9" s="129">
        <f t="shared" si="1"/>
        <v>34057.692307692305</v>
      </c>
      <c r="X9" s="137"/>
      <c r="Z9" s="137"/>
      <c r="AA9" s="137"/>
      <c r="AB9" s="137"/>
    </row>
    <row r="10" spans="2:28" ht="15">
      <c r="B10" s="125" t="s">
        <v>187</v>
      </c>
      <c r="C10" s="125" t="s">
        <v>182</v>
      </c>
      <c r="D10" s="133">
        <v>3.5</v>
      </c>
      <c r="E10" s="133">
        <v>0.5</v>
      </c>
      <c r="F10" s="133">
        <v>0.5</v>
      </c>
      <c r="G10" s="133">
        <v>0.5</v>
      </c>
      <c r="H10" s="133">
        <v>0</v>
      </c>
      <c r="I10" s="133">
        <v>2</v>
      </c>
      <c r="J10" s="133">
        <v>4.5</v>
      </c>
      <c r="K10" s="133">
        <v>0</v>
      </c>
      <c r="L10" s="130" t="s">
        <v>208</v>
      </c>
      <c r="M10" s="128">
        <v>200</v>
      </c>
      <c r="N10" s="153">
        <f t="shared" si="0"/>
        <v>0</v>
      </c>
      <c r="Q10" s="127" t="s">
        <v>213</v>
      </c>
      <c r="R10" s="128"/>
      <c r="S10" s="128"/>
      <c r="T10" s="128"/>
      <c r="U10" s="162">
        <v>145</v>
      </c>
      <c r="V10" s="162">
        <f>+Resursi!$G$15</f>
        <v>14.423076923076923</v>
      </c>
      <c r="W10" s="129">
        <f t="shared" si="1"/>
        <v>0</v>
      </c>
      <c r="X10" s="136"/>
      <c r="Z10" s="136"/>
      <c r="AA10" s="136"/>
      <c r="AB10" s="137"/>
    </row>
    <row r="11" spans="2:28" ht="15">
      <c r="B11" s="125" t="s">
        <v>189</v>
      </c>
      <c r="C11" s="125" t="s">
        <v>182</v>
      </c>
      <c r="D11" s="133">
        <v>2</v>
      </c>
      <c r="E11" s="133">
        <v>0.5</v>
      </c>
      <c r="F11" s="133">
        <v>0.5</v>
      </c>
      <c r="G11" s="133">
        <v>0.5</v>
      </c>
      <c r="H11" s="133">
        <v>2.5</v>
      </c>
      <c r="I11" s="133">
        <v>2.5</v>
      </c>
      <c r="J11" s="133">
        <v>3.5</v>
      </c>
      <c r="K11" s="133">
        <v>1.5</v>
      </c>
      <c r="L11" s="130" t="s">
        <v>208</v>
      </c>
      <c r="M11" s="128">
        <v>180</v>
      </c>
      <c r="N11" s="153">
        <f t="shared" si="0"/>
        <v>0</v>
      </c>
      <c r="Q11" s="127" t="s">
        <v>214</v>
      </c>
      <c r="R11" s="128"/>
      <c r="S11" s="128"/>
      <c r="T11" s="128"/>
      <c r="U11" s="162">
        <v>145</v>
      </c>
      <c r="V11" s="162">
        <f>+Resursi!$G$15</f>
        <v>14.423076923076923</v>
      </c>
      <c r="W11" s="129">
        <f t="shared" si="1"/>
        <v>0</v>
      </c>
      <c r="X11" s="136"/>
      <c r="Z11" s="136"/>
      <c r="AA11" s="136"/>
      <c r="AB11" s="137"/>
    </row>
    <row r="12" spans="2:28" ht="15">
      <c r="B12" s="125" t="s">
        <v>190</v>
      </c>
      <c r="C12" s="125" t="s">
        <v>182</v>
      </c>
      <c r="D12" s="133">
        <v>0.1</v>
      </c>
      <c r="E12" s="133">
        <v>0.1</v>
      </c>
      <c r="F12" s="133">
        <v>0.1</v>
      </c>
      <c r="G12" s="133">
        <v>2</v>
      </c>
      <c r="H12" s="133">
        <v>0</v>
      </c>
      <c r="I12" s="133">
        <v>0.5</v>
      </c>
      <c r="J12" s="133">
        <v>3</v>
      </c>
      <c r="K12" s="133">
        <v>1.5</v>
      </c>
      <c r="L12" s="130" t="s">
        <v>208</v>
      </c>
      <c r="M12" s="128">
        <v>180</v>
      </c>
      <c r="N12" s="153">
        <f t="shared" si="0"/>
        <v>0</v>
      </c>
      <c r="Q12" s="127" t="s">
        <v>28</v>
      </c>
      <c r="R12" s="128"/>
      <c r="S12" s="128"/>
      <c r="T12" s="128"/>
      <c r="U12" s="162">
        <v>145</v>
      </c>
      <c r="V12" s="162">
        <f>+Resursi!$G$15</f>
        <v>14.423076923076923</v>
      </c>
      <c r="W12" s="129">
        <f t="shared" si="1"/>
        <v>0</v>
      </c>
      <c r="X12" s="137"/>
      <c r="Z12" s="137"/>
      <c r="AA12" s="137"/>
      <c r="AB12" s="137"/>
    </row>
    <row r="13" spans="2:28" ht="15">
      <c r="B13" s="125" t="s">
        <v>191</v>
      </c>
      <c r="C13" s="125" t="s">
        <v>182</v>
      </c>
      <c r="D13" s="133">
        <v>0.1</v>
      </c>
      <c r="E13" s="133">
        <v>1</v>
      </c>
      <c r="F13" s="133">
        <v>1</v>
      </c>
      <c r="G13" s="133">
        <v>0</v>
      </c>
      <c r="H13" s="133">
        <v>0</v>
      </c>
      <c r="I13" s="133">
        <v>0.5</v>
      </c>
      <c r="J13" s="133">
        <v>1</v>
      </c>
      <c r="K13" s="133">
        <v>0</v>
      </c>
      <c r="L13" s="130" t="s">
        <v>208</v>
      </c>
      <c r="M13" s="128">
        <v>180</v>
      </c>
      <c r="N13" s="153">
        <f t="shared" si="0"/>
        <v>0</v>
      </c>
      <c r="Q13" s="127" t="s">
        <v>215</v>
      </c>
      <c r="R13" s="128"/>
      <c r="S13" s="128"/>
      <c r="T13" s="128"/>
      <c r="U13" s="162">
        <v>145</v>
      </c>
      <c r="V13" s="162">
        <f>+Resursi!$G$15</f>
        <v>14.423076923076923</v>
      </c>
      <c r="W13" s="129">
        <f t="shared" si="1"/>
        <v>0</v>
      </c>
    </row>
    <row r="14" spans="2:28" ht="15">
      <c r="B14" s="125" t="s">
        <v>193</v>
      </c>
      <c r="C14" s="125" t="s">
        <v>182</v>
      </c>
      <c r="D14" s="133">
        <v>0.1</v>
      </c>
      <c r="E14" s="133">
        <v>0.5</v>
      </c>
      <c r="F14" s="133">
        <v>0.5</v>
      </c>
      <c r="G14" s="133">
        <v>0</v>
      </c>
      <c r="H14" s="133">
        <v>0</v>
      </c>
      <c r="I14" s="133">
        <v>0</v>
      </c>
      <c r="J14" s="133">
        <v>1</v>
      </c>
      <c r="K14" s="133">
        <v>0</v>
      </c>
      <c r="L14" s="130" t="s">
        <v>208</v>
      </c>
      <c r="M14" s="128">
        <v>200</v>
      </c>
      <c r="N14" s="153">
        <f t="shared" si="0"/>
        <v>0</v>
      </c>
      <c r="Q14" s="127" t="s">
        <v>186</v>
      </c>
      <c r="R14" s="128">
        <v>20</v>
      </c>
      <c r="S14" s="128">
        <v>2500</v>
      </c>
      <c r="T14" s="128">
        <v>3</v>
      </c>
      <c r="U14" s="162">
        <v>145</v>
      </c>
      <c r="V14" s="162">
        <f>+Resursi!$G$15</f>
        <v>14.423076923076923</v>
      </c>
      <c r="W14" s="129">
        <f t="shared" si="1"/>
        <v>40434.615384615383</v>
      </c>
    </row>
    <row r="15" spans="2:28" ht="15">
      <c r="B15" s="125" t="s">
        <v>194</v>
      </c>
      <c r="C15" s="125" t="s">
        <v>182</v>
      </c>
      <c r="D15" s="133">
        <v>0.1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10</v>
      </c>
      <c r="K15" s="133">
        <v>1.5</v>
      </c>
      <c r="L15" s="130" t="s">
        <v>208</v>
      </c>
      <c r="M15" s="128">
        <v>180</v>
      </c>
      <c r="N15" s="153">
        <f t="shared" si="0"/>
        <v>0</v>
      </c>
      <c r="Q15" s="127" t="s">
        <v>232</v>
      </c>
      <c r="R15" s="128"/>
      <c r="S15" s="128"/>
      <c r="T15" s="128"/>
      <c r="U15" s="162">
        <v>145</v>
      </c>
      <c r="V15" s="162">
        <f>+Resursi!$G$15</f>
        <v>14.423076923076923</v>
      </c>
      <c r="W15" s="129">
        <f t="shared" si="1"/>
        <v>0</v>
      </c>
    </row>
    <row r="16" spans="2:28" ht="15">
      <c r="B16" s="125" t="s">
        <v>195</v>
      </c>
      <c r="C16" s="125" t="s">
        <v>182</v>
      </c>
      <c r="D16" s="133">
        <v>5</v>
      </c>
      <c r="E16" s="133">
        <v>5.5</v>
      </c>
      <c r="F16" s="133">
        <v>5.5</v>
      </c>
      <c r="G16" s="133">
        <v>1</v>
      </c>
      <c r="H16" s="133">
        <v>1</v>
      </c>
      <c r="I16" s="133">
        <v>1</v>
      </c>
      <c r="J16" s="133">
        <v>0</v>
      </c>
      <c r="K16" s="133">
        <v>0</v>
      </c>
      <c r="L16" s="130" t="s">
        <v>208</v>
      </c>
      <c r="M16" s="128">
        <v>200</v>
      </c>
      <c r="N16" s="153">
        <f t="shared" si="0"/>
        <v>0</v>
      </c>
      <c r="Q16" s="127"/>
      <c r="R16" s="128"/>
      <c r="S16" s="128"/>
      <c r="T16" s="128"/>
      <c r="U16" s="162">
        <v>145</v>
      </c>
      <c r="V16" s="162">
        <f>+Resursi!$G$15</f>
        <v>14.423076923076923</v>
      </c>
      <c r="W16" s="129">
        <f t="shared" si="1"/>
        <v>0</v>
      </c>
    </row>
    <row r="17" spans="2:23" ht="15">
      <c r="B17" s="125" t="s">
        <v>196</v>
      </c>
      <c r="C17" s="125" t="s">
        <v>182</v>
      </c>
      <c r="D17" s="133">
        <v>3</v>
      </c>
      <c r="E17" s="133">
        <v>0.1</v>
      </c>
      <c r="F17" s="133">
        <v>0.1</v>
      </c>
      <c r="G17" s="133">
        <v>4</v>
      </c>
      <c r="H17" s="133">
        <v>4</v>
      </c>
      <c r="I17" s="133">
        <v>4</v>
      </c>
      <c r="J17" s="133">
        <v>4.5</v>
      </c>
      <c r="K17" s="133">
        <v>0</v>
      </c>
      <c r="L17" s="130" t="s">
        <v>208</v>
      </c>
      <c r="M17" s="128">
        <v>100</v>
      </c>
      <c r="N17" s="153">
        <f t="shared" si="0"/>
        <v>0</v>
      </c>
      <c r="Q17" s="127"/>
      <c r="R17" s="128"/>
      <c r="S17" s="128"/>
      <c r="T17" s="128"/>
      <c r="U17" s="162">
        <v>145</v>
      </c>
      <c r="V17" s="162">
        <f>+Resursi!$G$15</f>
        <v>14.423076923076923</v>
      </c>
      <c r="W17" s="129">
        <f t="shared" si="1"/>
        <v>0</v>
      </c>
    </row>
    <row r="18" spans="2:23" ht="15">
      <c r="B18" s="125" t="s">
        <v>277</v>
      </c>
      <c r="C18" s="125" t="s">
        <v>182</v>
      </c>
      <c r="D18" s="133">
        <v>2</v>
      </c>
      <c r="E18" s="133">
        <v>2</v>
      </c>
      <c r="F18" s="133">
        <v>2</v>
      </c>
      <c r="G18" s="133">
        <v>2</v>
      </c>
      <c r="H18" s="133">
        <v>2</v>
      </c>
      <c r="I18" s="133">
        <v>2</v>
      </c>
      <c r="J18" s="133">
        <v>2</v>
      </c>
      <c r="K18" s="133">
        <v>2</v>
      </c>
      <c r="L18" s="130" t="s">
        <v>208</v>
      </c>
      <c r="M18" s="128">
        <v>150</v>
      </c>
      <c r="N18" s="153">
        <f t="shared" si="0"/>
        <v>0</v>
      </c>
      <c r="Q18" s="127"/>
      <c r="R18" s="128"/>
      <c r="S18" s="128"/>
      <c r="T18" s="128"/>
      <c r="U18" s="162">
        <v>145</v>
      </c>
      <c r="V18" s="162">
        <f>+Resursi!$G$15</f>
        <v>14.423076923076923</v>
      </c>
      <c r="W18" s="129">
        <f t="shared" si="1"/>
        <v>0</v>
      </c>
    </row>
    <row r="19" spans="2:23" ht="15">
      <c r="B19" s="125" t="s">
        <v>176</v>
      </c>
      <c r="C19" s="125" t="s">
        <v>182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1</v>
      </c>
      <c r="L19" s="130" t="s">
        <v>208</v>
      </c>
      <c r="M19" s="129">
        <f>+R21</f>
        <v>50.1</v>
      </c>
      <c r="N19" s="153">
        <f t="shared" si="0"/>
        <v>0</v>
      </c>
      <c r="Q19" s="127"/>
      <c r="R19" s="128"/>
      <c r="S19" s="128"/>
      <c r="T19" s="128"/>
      <c r="U19" s="162">
        <v>145</v>
      </c>
      <c r="V19" s="162">
        <f>+Resursi!$G$15</f>
        <v>14.423076923076923</v>
      </c>
      <c r="W19" s="129">
        <f t="shared" si="1"/>
        <v>0</v>
      </c>
    </row>
    <row r="20" spans="2:23" ht="15">
      <c r="B20" s="125" t="s">
        <v>197</v>
      </c>
      <c r="C20" s="125" t="s">
        <v>1</v>
      </c>
      <c r="D20" s="126">
        <v>1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9">
        <v>0</v>
      </c>
      <c r="K20" s="126">
        <v>0</v>
      </c>
      <c r="L20" s="130" t="s">
        <v>208</v>
      </c>
      <c r="M20" s="128">
        <v>10</v>
      </c>
      <c r="N20" s="153">
        <f t="shared" si="0"/>
        <v>0</v>
      </c>
      <c r="Q20" s="127"/>
      <c r="R20" s="128"/>
      <c r="S20" s="128"/>
      <c r="T20" s="128"/>
      <c r="U20" s="162">
        <v>145</v>
      </c>
      <c r="V20" s="162">
        <f>+Resursi!$G$15</f>
        <v>14.423076923076923</v>
      </c>
      <c r="W20" s="129">
        <f t="shared" si="1"/>
        <v>0</v>
      </c>
    </row>
    <row r="21" spans="2:23" ht="15">
      <c r="B21" s="125" t="s">
        <v>198</v>
      </c>
      <c r="C21" s="125" t="s">
        <v>1</v>
      </c>
      <c r="D21" s="126">
        <v>0</v>
      </c>
      <c r="E21" s="126">
        <v>1</v>
      </c>
      <c r="F21" s="126">
        <v>0</v>
      </c>
      <c r="G21" s="126">
        <v>0</v>
      </c>
      <c r="H21" s="126">
        <v>0</v>
      </c>
      <c r="I21" s="126">
        <v>0</v>
      </c>
      <c r="J21" s="129">
        <v>0</v>
      </c>
      <c r="K21" s="126">
        <v>0</v>
      </c>
      <c r="L21" s="130" t="s">
        <v>208</v>
      </c>
      <c r="M21" s="128">
        <v>10</v>
      </c>
      <c r="N21" s="153">
        <f t="shared" si="0"/>
        <v>0</v>
      </c>
      <c r="Q21" s="125" t="s">
        <v>206</v>
      </c>
      <c r="R21" s="126">
        <f>SUM(R6:R20)+R157</f>
        <v>50.1</v>
      </c>
      <c r="S21" s="126"/>
      <c r="T21" s="126">
        <f>SUMPRODUCT(T6:T20,R6:R20)</f>
        <v>280</v>
      </c>
      <c r="U21" s="159"/>
      <c r="V21" s="159"/>
      <c r="W21" s="129">
        <f>SUM(W6:W20)</f>
        <v>100361.53846153847</v>
      </c>
    </row>
    <row r="22" spans="2:23" ht="15">
      <c r="B22" s="125" t="s">
        <v>199</v>
      </c>
      <c r="C22" s="125" t="s">
        <v>1</v>
      </c>
      <c r="D22" s="126">
        <v>0</v>
      </c>
      <c r="E22" s="126">
        <v>0</v>
      </c>
      <c r="F22" s="126">
        <v>1</v>
      </c>
      <c r="G22" s="126">
        <v>0</v>
      </c>
      <c r="H22" s="126">
        <v>0</v>
      </c>
      <c r="I22" s="126">
        <v>0</v>
      </c>
      <c r="J22" s="129">
        <v>0</v>
      </c>
      <c r="K22" s="126">
        <v>0</v>
      </c>
      <c r="L22" s="130" t="s">
        <v>208</v>
      </c>
      <c r="M22" s="128">
        <v>10</v>
      </c>
      <c r="N22" s="153">
        <f t="shared" si="0"/>
        <v>0</v>
      </c>
      <c r="Q22" s="163" t="s">
        <v>221</v>
      </c>
      <c r="R22" s="164">
        <f>(SUMPRODUCT(R6:R20,S6:S20)-SUMPRODUCT(T6:T20,U6:U20,R6:R20)-SUMPRODUCT(V6:V20,T6:T20,R6:R20))/(SUM(R6:R20)+R157)</f>
        <v>2003.2243205895902</v>
      </c>
      <c r="S22" s="126"/>
      <c r="T22" s="126"/>
      <c r="U22" s="159"/>
      <c r="V22" s="159"/>
      <c r="W22" s="129"/>
    </row>
    <row r="23" spans="2:23" ht="15">
      <c r="B23" s="125" t="s">
        <v>200</v>
      </c>
      <c r="C23" s="125" t="s">
        <v>1</v>
      </c>
      <c r="D23" s="126">
        <v>0</v>
      </c>
      <c r="E23" s="126">
        <v>0</v>
      </c>
      <c r="F23" s="126">
        <v>0</v>
      </c>
      <c r="G23" s="126">
        <v>1</v>
      </c>
      <c r="H23" s="126">
        <v>0</v>
      </c>
      <c r="I23" s="126">
        <v>0</v>
      </c>
      <c r="J23" s="129">
        <v>0</v>
      </c>
      <c r="K23" s="126">
        <v>0</v>
      </c>
      <c r="L23" s="130" t="s">
        <v>208</v>
      </c>
      <c r="M23" s="128">
        <v>5</v>
      </c>
      <c r="N23" s="153">
        <f t="shared" si="0"/>
        <v>0</v>
      </c>
    </row>
    <row r="24" spans="2:23" ht="15">
      <c r="B24" s="125" t="s">
        <v>201</v>
      </c>
      <c r="C24" s="125" t="s">
        <v>1</v>
      </c>
      <c r="D24" s="126">
        <v>0</v>
      </c>
      <c r="E24" s="126">
        <v>0</v>
      </c>
      <c r="F24" s="126">
        <v>0</v>
      </c>
      <c r="G24" s="126">
        <v>0</v>
      </c>
      <c r="H24" s="126">
        <v>1</v>
      </c>
      <c r="I24" s="126">
        <v>0</v>
      </c>
      <c r="J24" s="129">
        <v>0</v>
      </c>
      <c r="K24" s="126">
        <v>0</v>
      </c>
      <c r="L24" s="130" t="s">
        <v>208</v>
      </c>
      <c r="M24" s="128">
        <v>5</v>
      </c>
      <c r="N24" s="153">
        <f t="shared" si="0"/>
        <v>0</v>
      </c>
      <c r="Q24" s="1"/>
    </row>
    <row r="25" spans="2:23" ht="15">
      <c r="B25" s="125" t="s">
        <v>379</v>
      </c>
      <c r="C25" s="125" t="s">
        <v>1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1</v>
      </c>
      <c r="J25" s="129">
        <v>0</v>
      </c>
      <c r="K25" s="126">
        <v>0</v>
      </c>
      <c r="L25" s="130" t="s">
        <v>208</v>
      </c>
      <c r="M25" s="128">
        <v>5</v>
      </c>
      <c r="N25" s="153">
        <f t="shared" si="0"/>
        <v>0</v>
      </c>
      <c r="Q25" s="1"/>
    </row>
    <row r="26" spans="2:23" ht="15">
      <c r="B26" s="132" t="s">
        <v>202</v>
      </c>
      <c r="C26" s="132" t="s">
        <v>1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9">
        <v>1</v>
      </c>
      <c r="K26" s="126">
        <v>0</v>
      </c>
      <c r="L26" s="130" t="s">
        <v>208</v>
      </c>
      <c r="M26" s="128">
        <v>5</v>
      </c>
      <c r="N26" s="153">
        <f t="shared" si="0"/>
        <v>0</v>
      </c>
      <c r="Q26" s="1"/>
    </row>
    <row r="27" spans="2:23" ht="15.75">
      <c r="B27" s="241" t="s">
        <v>203</v>
      </c>
      <c r="C27" s="241"/>
      <c r="D27" s="240"/>
      <c r="E27" s="240"/>
      <c r="F27" s="240"/>
      <c r="G27" s="240"/>
      <c r="H27" s="240"/>
      <c r="I27" s="240"/>
      <c r="J27" s="240"/>
      <c r="K27" s="240"/>
      <c r="L27" s="148"/>
      <c r="M27" s="147"/>
      <c r="N27" s="147"/>
      <c r="Q27" s="1"/>
    </row>
    <row r="28" spans="2:23">
      <c r="Q28" s="1"/>
    </row>
    <row r="29" spans="2:23">
      <c r="B29" s="139" t="s">
        <v>278</v>
      </c>
      <c r="Q29" s="1"/>
    </row>
    <row r="30" spans="2:23">
      <c r="B30" s="1" t="s">
        <v>282</v>
      </c>
      <c r="Q30" s="1"/>
    </row>
    <row r="31" spans="2:23">
      <c r="B31" s="139" t="s">
        <v>281</v>
      </c>
    </row>
    <row r="32" spans="2:23">
      <c r="B32" s="1" t="s">
        <v>382</v>
      </c>
    </row>
    <row r="33" spans="2:2">
      <c r="B33" s="1"/>
    </row>
    <row r="36" spans="2:2">
      <c r="B36" s="1"/>
    </row>
    <row r="42" spans="2:2">
      <c r="B42" s="1"/>
    </row>
    <row r="157" spans="18:18">
      <c r="R157">
        <v>0.1</v>
      </c>
    </row>
  </sheetData>
  <sheetProtection sort="0" autoFilter="0" pivotTables="0"/>
  <protectedRanges>
    <protectedRange sqref="M20:M26" name="Range6"/>
    <protectedRange sqref="M7:M18" name="Range5"/>
    <protectedRange sqref="D7:K18" name="Range4"/>
    <protectedRange sqref="Q6:T20" name="Range1"/>
    <protectedRange sqref="D3:K3" name="Range7"/>
  </protectedRanges>
  <dataConsolidate/>
  <dataValidations count="1">
    <dataValidation type="list" allowBlank="1" showInputMessage="1" showErrorMessage="1" sqref="D3:K3">
      <formula1>$P$4:$P$5</formula1>
    </dataValidation>
  </dataValidations>
  <printOptions horizontalCentered="1"/>
  <pageMargins left="0" right="0" top="0.74803149606299213" bottom="0.74803149606299213" header="0.31496062992125984" footer="0.31496062992125984"/>
  <pageSetup scale="74" orientation="landscape" r:id="rId1"/>
  <rowBreaks count="1" manualBreakCount="1">
    <brk id="32" max="16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F13" sqref="F13"/>
    </sheetView>
  </sheetViews>
  <sheetFormatPr defaultRowHeight="14.25"/>
  <cols>
    <col min="1" max="1" width="3.140625" style="2" customWidth="1"/>
    <col min="2" max="2" width="3.5703125" style="2" customWidth="1"/>
    <col min="3" max="3" width="14.7109375" style="2" bestFit="1" customWidth="1"/>
    <col min="4" max="4" width="10.7109375" style="2" bestFit="1" customWidth="1"/>
    <col min="5" max="5" width="9.140625" style="2"/>
    <col min="6" max="8" width="12" style="2" customWidth="1"/>
    <col min="9" max="16384" width="9.140625" style="2"/>
  </cols>
  <sheetData>
    <row r="1" spans="2:8" ht="23.25">
      <c r="B1" s="73" t="s">
        <v>127</v>
      </c>
    </row>
    <row r="2" spans="2:8" ht="15" thickBot="1"/>
    <row r="3" spans="2:8" ht="30">
      <c r="C3" s="105" t="s">
        <v>128</v>
      </c>
      <c r="D3" s="106" t="s">
        <v>129</v>
      </c>
      <c r="E3" s="106" t="s">
        <v>5</v>
      </c>
      <c r="F3" s="106" t="s">
        <v>7</v>
      </c>
      <c r="G3" s="106" t="s">
        <v>12</v>
      </c>
      <c r="H3" s="106" t="s">
        <v>130</v>
      </c>
    </row>
    <row r="4" spans="2:8" ht="15" thickBot="1">
      <c r="C4" s="107"/>
      <c r="D4" s="108" t="s">
        <v>131</v>
      </c>
      <c r="E4" s="108" t="s">
        <v>132</v>
      </c>
      <c r="F4" s="108" t="s">
        <v>72</v>
      </c>
      <c r="G4" s="108" t="s">
        <v>72</v>
      </c>
      <c r="H4" s="108" t="s">
        <v>72</v>
      </c>
    </row>
    <row r="5" spans="2:8" ht="15">
      <c r="B5" s="22" t="s">
        <v>8</v>
      </c>
      <c r="C5" s="134" t="s">
        <v>119</v>
      </c>
      <c r="D5" s="109">
        <f>'1.Kukuruz'!$F$8/1000</f>
        <v>9</v>
      </c>
      <c r="E5" s="109">
        <f>'1.Kukuruz'!$H$8</f>
        <v>17</v>
      </c>
      <c r="F5" s="6">
        <f>'1.Kukuruz'!$J$10</f>
        <v>153000</v>
      </c>
      <c r="G5" s="6">
        <f>'1.Kukuruz'!$J$46</f>
        <v>76205</v>
      </c>
      <c r="H5" s="6">
        <f>SUMIF(PLAN!D3,"Da",'1.Kukuruz'!J48)</f>
        <v>77886.808307692307</v>
      </c>
    </row>
    <row r="6" spans="2:8" ht="15">
      <c r="B6" s="22" t="s">
        <v>10</v>
      </c>
      <c r="C6" s="135" t="s">
        <v>109</v>
      </c>
      <c r="D6" s="109">
        <f>'2.Pšenica'!$F$8/1000</f>
        <v>7</v>
      </c>
      <c r="E6" s="109">
        <f>'2.Pšenica'!$H$8</f>
        <v>17</v>
      </c>
      <c r="F6" s="6">
        <f>'2.Pšenica'!$J$10</f>
        <v>119000</v>
      </c>
      <c r="G6" s="6">
        <f>'2.Pšenica'!$J$45</f>
        <v>69582.692307692312</v>
      </c>
      <c r="H6" s="6">
        <f>SUMIF(PLAN!E3,"da",'2.Pšenica'!J47)</f>
        <v>49684.584722408021</v>
      </c>
    </row>
    <row r="7" spans="2:8" ht="15">
      <c r="B7" s="22" t="s">
        <v>18</v>
      </c>
      <c r="C7" s="135" t="s">
        <v>120</v>
      </c>
      <c r="D7" s="109">
        <f>'3.Ječam'!$F$8/1000</f>
        <v>7</v>
      </c>
      <c r="E7" s="109">
        <f>'3.Ječam'!$H$8</f>
        <v>17.2</v>
      </c>
      <c r="F7" s="6">
        <f>'3.Ječam'!$J$10</f>
        <v>120400</v>
      </c>
      <c r="G7" s="6">
        <f>'3.Ječam'!$J$45</f>
        <v>65949.615384615376</v>
      </c>
      <c r="H7" s="6">
        <f>SUMIF(PLAN!F3,"da",'3.Ječam'!J47)</f>
        <v>55685.430535117062</v>
      </c>
    </row>
    <row r="8" spans="2:8" ht="15">
      <c r="B8" s="22" t="s">
        <v>24</v>
      </c>
      <c r="C8" s="135" t="s">
        <v>108</v>
      </c>
      <c r="D8" s="109">
        <f>'4.Soja'!$F$8/1000</f>
        <v>3.5</v>
      </c>
      <c r="E8" s="109">
        <f>'4.Soja'!$H$8</f>
        <v>45</v>
      </c>
      <c r="F8" s="6">
        <f>'4.Soja'!$J$10</f>
        <v>157500</v>
      </c>
      <c r="G8" s="6">
        <f>'4.Soja'!$J$45</f>
        <v>75114.423076923078</v>
      </c>
      <c r="H8" s="6">
        <f>SUMIF(PLAN!G3,"da",'4.Soja'!J47)</f>
        <v>83068.68765886288</v>
      </c>
    </row>
    <row r="9" spans="2:8" ht="15">
      <c r="B9" s="22" t="s">
        <v>26</v>
      </c>
      <c r="C9" s="135" t="s">
        <v>107</v>
      </c>
      <c r="D9" s="109">
        <f>'5.Suncokret'!$F$8/1000</f>
        <v>3.7</v>
      </c>
      <c r="E9" s="109">
        <f>'5.Suncokret'!$H$8</f>
        <v>35</v>
      </c>
      <c r="F9" s="6">
        <f>'5.Suncokret'!$J$10</f>
        <v>129500</v>
      </c>
      <c r="G9" s="6">
        <f>'5.Suncokret'!$J$45</f>
        <v>62754.615384615383</v>
      </c>
      <c r="H9" s="6">
        <f>SUMIF(PLAN!H3,"da",'5.Suncokret'!J47)</f>
        <v>66660.296020066904</v>
      </c>
    </row>
    <row r="10" spans="2:8" ht="15">
      <c r="B10" s="22" t="s">
        <v>29</v>
      </c>
      <c r="C10" s="135" t="s">
        <v>360</v>
      </c>
      <c r="D10" s="109">
        <f>'6.Ulj.repica'!$F$8/1000</f>
        <v>3.5</v>
      </c>
      <c r="E10" s="109">
        <f>'6.Ulj.repica'!$H$8</f>
        <v>40</v>
      </c>
      <c r="F10" s="6">
        <f>'6.Ulj.repica'!$J$10</f>
        <v>140000</v>
      </c>
      <c r="G10" s="6">
        <f>'6.Ulj.repica'!$J$45</f>
        <v>63706.384615384617</v>
      </c>
      <c r="H10" s="6">
        <f>SUMIF(PLAN!I3,"da",'6.Ulj.repica'!J47)</f>
        <v>77842.820066889617</v>
      </c>
    </row>
    <row r="11" spans="2:8" ht="15">
      <c r="B11" s="22" t="s">
        <v>44</v>
      </c>
      <c r="C11" s="135" t="s">
        <v>92</v>
      </c>
      <c r="D11" s="109">
        <f>'7.Š.Repa'!$F$8/1000</f>
        <v>55</v>
      </c>
      <c r="E11" s="109">
        <f>'7.Š.Repa'!$H$8</f>
        <v>5</v>
      </c>
      <c r="F11" s="6">
        <f>'7.Š.Repa'!$J$10</f>
        <v>275000</v>
      </c>
      <c r="G11" s="6">
        <f>'7.Š.Repa'!$J$48</f>
        <v>158287.69230769231</v>
      </c>
      <c r="H11" s="6">
        <f>SUMIF(PLAN!J3,"da",'7.Š.Repa'!J50)</f>
        <v>118597.35284280936</v>
      </c>
    </row>
    <row r="12" spans="2:8" ht="15">
      <c r="B12" s="22"/>
      <c r="C12" s="135"/>
    </row>
    <row r="13" spans="2:8" ht="15">
      <c r="B13" s="22"/>
      <c r="C13" s="135"/>
      <c r="D13" s="109"/>
      <c r="E13" s="109"/>
      <c r="F13" s="6"/>
      <c r="G13" s="6"/>
      <c r="H13" s="6"/>
    </row>
    <row r="14" spans="2:8" ht="15">
      <c r="B14" s="22"/>
      <c r="C14" s="135"/>
      <c r="D14" s="109"/>
      <c r="E14" s="109"/>
      <c r="F14" s="6"/>
      <c r="G14" s="6"/>
      <c r="H14" s="6"/>
    </row>
  </sheetData>
  <sheetProtection password="8730" sheet="1" objects="1" scenarios="1"/>
  <hyperlinks>
    <hyperlink ref="C5" location="'1.Kukuruz'!C1" display="KUKURUZ"/>
    <hyperlink ref="C6" location="'2.Pšenica'!C1" display="PŠENICA"/>
    <hyperlink ref="C7" location="'3.Ječam'!C1" display="JEČAM"/>
    <hyperlink ref="C8" location="'4.Soja'!C1" display="SOJA"/>
    <hyperlink ref="C9" location="'5.Suncokret'!C1" display="SUNCOKRET"/>
    <hyperlink ref="C10" location="'6.Ulj.repica'!A1" display="Uljana repica"/>
    <hyperlink ref="C11" location="'7.Š.Repa'!A1" display="Šećerna repa"/>
  </hyperlinks>
  <pageMargins left="0.7" right="0.7" top="0.75" bottom="0.75" header="0.3" footer="0.3"/>
  <pageSetup paperSize="9" scale="83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B1:I30"/>
  <sheetViews>
    <sheetView zoomScaleSheetLayoutView="100" workbookViewId="0">
      <selection activeCell="I28" sqref="I28"/>
    </sheetView>
  </sheetViews>
  <sheetFormatPr defaultRowHeight="12.75"/>
  <cols>
    <col min="1" max="1" width="2.5703125" customWidth="1"/>
    <col min="2" max="2" width="3.140625" bestFit="1" customWidth="1"/>
    <col min="3" max="3" width="28.28515625" customWidth="1"/>
    <col min="4" max="4" width="12" customWidth="1"/>
    <col min="5" max="5" width="10.7109375" customWidth="1"/>
    <col min="6" max="6" width="10" bestFit="1" customWidth="1"/>
    <col min="7" max="7" width="13.140625" customWidth="1"/>
    <col min="8" max="8" width="7.5703125" customWidth="1"/>
    <col min="9" max="9" width="11.28515625" customWidth="1"/>
  </cols>
  <sheetData>
    <row r="1" spans="2:9" ht="23.25">
      <c r="C1" s="73" t="s">
        <v>276</v>
      </c>
      <c r="D1" s="73"/>
      <c r="E1" s="73"/>
    </row>
    <row r="2" spans="2:9">
      <c r="F2" s="141" t="s">
        <v>162</v>
      </c>
      <c r="G2" s="158" t="s">
        <v>3</v>
      </c>
      <c r="I2" s="72" t="s">
        <v>0</v>
      </c>
    </row>
    <row r="3" spans="2:9" ht="12.75" customHeight="1">
      <c r="B3" s="120" t="s">
        <v>8</v>
      </c>
      <c r="C3" s="120" t="s">
        <v>163</v>
      </c>
      <c r="D3" s="120"/>
      <c r="E3" s="120"/>
      <c r="F3" s="1" t="s">
        <v>1</v>
      </c>
      <c r="G3" s="165">
        <v>25</v>
      </c>
      <c r="I3" s="119" t="s">
        <v>174</v>
      </c>
    </row>
    <row r="4" spans="2:9">
      <c r="G4" s="145"/>
      <c r="I4" s="119"/>
    </row>
    <row r="5" spans="2:9" ht="15.75">
      <c r="B5" s="120" t="s">
        <v>10</v>
      </c>
      <c r="C5" s="120" t="s">
        <v>164</v>
      </c>
      <c r="D5" s="120"/>
      <c r="E5" s="120"/>
      <c r="G5" s="145"/>
      <c r="I5" s="19"/>
    </row>
    <row r="6" spans="2:9" ht="15.75">
      <c r="B6" s="120"/>
      <c r="C6" s="121" t="s">
        <v>165</v>
      </c>
      <c r="D6" s="121"/>
      <c r="E6" s="121"/>
      <c r="F6" s="1" t="s">
        <v>166</v>
      </c>
      <c r="G6" s="122">
        <v>1</v>
      </c>
      <c r="I6" s="119" t="s">
        <v>388</v>
      </c>
    </row>
    <row r="7" spans="2:9" ht="14.25">
      <c r="C7" s="121" t="s">
        <v>167</v>
      </c>
      <c r="D7" s="121"/>
      <c r="E7" s="121"/>
      <c r="F7" s="1" t="s">
        <v>168</v>
      </c>
      <c r="G7" s="122">
        <v>2200</v>
      </c>
      <c r="I7" s="19" t="s">
        <v>225</v>
      </c>
    </row>
    <row r="8" spans="2:9" ht="14.25">
      <c r="C8" s="121" t="s">
        <v>224</v>
      </c>
      <c r="D8" s="121"/>
      <c r="E8" s="121"/>
      <c r="F8" s="1"/>
      <c r="G8" s="143">
        <f>G6*G7</f>
        <v>2200</v>
      </c>
      <c r="I8" s="19"/>
    </row>
    <row r="9" spans="2:9" ht="14.25">
      <c r="C9" s="121"/>
      <c r="D9" s="121"/>
      <c r="E9" s="121"/>
      <c r="G9" s="145"/>
      <c r="I9" s="19"/>
    </row>
    <row r="10" spans="2:9" ht="15.75">
      <c r="B10" s="120" t="s">
        <v>18</v>
      </c>
      <c r="C10" s="120" t="s">
        <v>169</v>
      </c>
      <c r="D10" s="120"/>
      <c r="E10" s="120"/>
      <c r="G10" s="145"/>
      <c r="I10" s="19"/>
    </row>
    <row r="11" spans="2:9" ht="14.25">
      <c r="C11" s="121" t="s">
        <v>170</v>
      </c>
      <c r="D11" s="121"/>
      <c r="E11" s="121"/>
      <c r="F11" s="1" t="s">
        <v>228</v>
      </c>
      <c r="G11" s="122">
        <v>50</v>
      </c>
      <c r="I11" s="19" t="s">
        <v>229</v>
      </c>
    </row>
    <row r="12" spans="2:9" ht="14.25">
      <c r="C12" s="121" t="s">
        <v>171</v>
      </c>
      <c r="D12" s="121"/>
      <c r="E12" s="121"/>
      <c r="F12" s="1" t="s">
        <v>172</v>
      </c>
      <c r="G12" s="122">
        <v>30000</v>
      </c>
      <c r="I12" s="19" t="s">
        <v>175</v>
      </c>
    </row>
    <row r="13" spans="2:9" ht="14.25">
      <c r="C13" s="121" t="s">
        <v>230</v>
      </c>
      <c r="D13" s="121"/>
      <c r="E13" s="121"/>
      <c r="F13" s="1" t="s">
        <v>173</v>
      </c>
      <c r="G13" s="122">
        <v>1800</v>
      </c>
      <c r="I13" s="19" t="s">
        <v>226</v>
      </c>
    </row>
    <row r="14" spans="2:9" ht="14.25">
      <c r="C14" s="121" t="s">
        <v>231</v>
      </c>
      <c r="D14" s="121"/>
      <c r="E14" s="121"/>
      <c r="F14" s="1" t="s">
        <v>173</v>
      </c>
      <c r="G14" s="145">
        <f>PLAN!T21</f>
        <v>280</v>
      </c>
      <c r="I14" s="102" t="s">
        <v>227</v>
      </c>
    </row>
    <row r="15" spans="2:9" ht="14.25">
      <c r="C15" s="2" t="s">
        <v>52</v>
      </c>
      <c r="D15" s="2"/>
      <c r="E15" s="2"/>
      <c r="G15" s="146">
        <f>G12/(G13+G14)</f>
        <v>14.423076923076923</v>
      </c>
      <c r="I15" s="232"/>
    </row>
    <row r="16" spans="2:9">
      <c r="I16" s="232"/>
    </row>
    <row r="17" spans="2:9">
      <c r="I17" s="232"/>
    </row>
    <row r="18" spans="2:9" ht="14.25">
      <c r="C18" s="2"/>
      <c r="D18" s="2"/>
      <c r="E18" s="2"/>
      <c r="F18" s="1"/>
      <c r="G18" s="144"/>
      <c r="I18" s="232"/>
    </row>
    <row r="19" spans="2:9" ht="15.75">
      <c r="C19" s="230" t="s">
        <v>372</v>
      </c>
      <c r="D19" s="231"/>
      <c r="E19" s="231"/>
      <c r="I19" s="232"/>
    </row>
    <row r="20" spans="2:9" ht="18">
      <c r="D20" s="226" t="s">
        <v>295</v>
      </c>
      <c r="E20" s="226" t="s">
        <v>321</v>
      </c>
      <c r="F20" s="226" t="s">
        <v>322</v>
      </c>
      <c r="G20" s="1" t="s">
        <v>5</v>
      </c>
      <c r="I20" s="232"/>
    </row>
    <row r="21" spans="2:9">
      <c r="B21" s="1"/>
      <c r="C21" s="229" t="s">
        <v>373</v>
      </c>
      <c r="D21" s="227">
        <v>0.46</v>
      </c>
      <c r="E21" s="227">
        <v>0</v>
      </c>
      <c r="F21" s="227">
        <v>0</v>
      </c>
      <c r="G21" s="228">
        <v>34</v>
      </c>
      <c r="H21" s="1" t="s">
        <v>17</v>
      </c>
      <c r="I21" s="119" t="s">
        <v>375</v>
      </c>
    </row>
    <row r="22" spans="2:9">
      <c r="B22" s="1"/>
      <c r="C22" s="229" t="s">
        <v>374</v>
      </c>
      <c r="D22" s="227">
        <v>0.12</v>
      </c>
      <c r="E22" s="227">
        <v>0.52</v>
      </c>
      <c r="F22" s="227">
        <v>0</v>
      </c>
      <c r="G22" s="228">
        <v>51.5</v>
      </c>
      <c r="H22" s="1" t="s">
        <v>17</v>
      </c>
      <c r="I22" s="119" t="s">
        <v>375</v>
      </c>
    </row>
    <row r="23" spans="2:9">
      <c r="B23" s="1"/>
      <c r="C23" s="229" t="s">
        <v>304</v>
      </c>
      <c r="D23" s="227">
        <v>0.16</v>
      </c>
      <c r="E23" s="227">
        <v>0.16</v>
      </c>
      <c r="F23" s="227">
        <v>0.16</v>
      </c>
      <c r="G23" s="228">
        <v>40</v>
      </c>
      <c r="H23" s="1" t="s">
        <v>17</v>
      </c>
      <c r="I23" s="119" t="s">
        <v>375</v>
      </c>
    </row>
    <row r="25" spans="2:9">
      <c r="C25" s="1" t="s">
        <v>376</v>
      </c>
      <c r="D25" s="233">
        <f>G21/D21</f>
        <v>73.91304347826086</v>
      </c>
      <c r="E25" s="233">
        <f>G22/E22-D22*D25</f>
        <v>90.168896321070235</v>
      </c>
      <c r="F25" s="233">
        <f>G23-D23*D25+E23*E25</f>
        <v>42.600936454849503</v>
      </c>
    </row>
    <row r="28" spans="2:9" ht="15.75">
      <c r="C28" s="230" t="s">
        <v>204</v>
      </c>
    </row>
    <row r="29" spans="2:9">
      <c r="C29" s="239"/>
    </row>
    <row r="30" spans="2:9">
      <c r="C30" s="238" t="s">
        <v>381</v>
      </c>
      <c r="D30" s="237"/>
      <c r="E30" s="237"/>
      <c r="F30" s="237"/>
      <c r="G30" s="155">
        <v>145</v>
      </c>
      <c r="H30" s="1" t="s">
        <v>380</v>
      </c>
      <c r="I30" s="119" t="s">
        <v>375</v>
      </c>
    </row>
  </sheetData>
  <sheetProtection password="8730" sheet="1" objects="1" scenarios="1"/>
  <protectedRanges>
    <protectedRange sqref="I3:I14" name="Range5"/>
    <protectedRange sqref="G3:G13" name="Range2"/>
    <protectedRange sqref="G21:G23" name="Range6"/>
    <protectedRange sqref="D30:G30" name="Range4"/>
  </protectedRange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="130" zoomScaleNormal="130" zoomScaleSheetLayoutView="100" workbookViewId="0">
      <selection activeCell="F97" sqref="F97"/>
    </sheetView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3" style="2" customWidth="1"/>
    <col min="5" max="5" width="7.5703125" style="2" customWidth="1"/>
    <col min="6" max="6" width="12" style="2" customWidth="1"/>
    <col min="7" max="7" width="8.7109375" style="2" bestFit="1" customWidth="1"/>
    <col min="8" max="8" width="10.7109375" style="2" customWidth="1"/>
    <col min="9" max="9" width="8.7109375" style="2" bestFit="1" customWidth="1"/>
    <col min="10" max="10" width="17.42578125" style="2" customWidth="1"/>
    <col min="11" max="11" width="2.42578125" style="2" customWidth="1"/>
    <col min="12" max="12" width="10.85546875" style="1" customWidth="1"/>
    <col min="13" max="14" width="2.42578125" style="2" customWidth="1"/>
    <col min="15" max="15" width="20.7109375" style="2" customWidth="1"/>
    <col min="16" max="18" width="9.140625" style="2"/>
    <col min="19" max="19" width="20.42578125" style="2" customWidth="1"/>
    <col min="20" max="80" width="9.140625" style="2"/>
    <col min="81" max="81" width="19.140625" style="2" customWidth="1"/>
    <col min="82" max="89" width="9.140625" style="2"/>
    <col min="90" max="91" width="2.85546875" style="2" customWidth="1"/>
    <col min="92" max="92" width="18.7109375" style="2" customWidth="1"/>
    <col min="93" max="100" width="9.140625" style="2"/>
    <col min="101" max="102" width="2.7109375" style="2" customWidth="1"/>
    <col min="103" max="103" width="2.85546875" style="2" customWidth="1"/>
    <col min="104" max="104" width="13.140625" style="2" customWidth="1"/>
    <col min="105" max="16384" width="9.140625" style="2"/>
  </cols>
  <sheetData>
    <row r="1" spans="2:18" ht="23.25">
      <c r="C1" s="73" t="s">
        <v>292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77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>
        <v>2018</v>
      </c>
      <c r="L4" s="18"/>
      <c r="O4" s="169" t="s">
        <v>298</v>
      </c>
      <c r="P4" s="170">
        <f t="shared" ref="P4:R5" si="0">+CI218</f>
        <v>173.70000000000002</v>
      </c>
      <c r="Q4" s="170">
        <f t="shared" si="0"/>
        <v>84.600000000000009</v>
      </c>
      <c r="R4" s="170">
        <f t="shared" si="0"/>
        <v>61.199999999999996</v>
      </c>
    </row>
    <row r="5" spans="2:18" ht="15.75" thickBot="1">
      <c r="L5" s="19"/>
      <c r="O5" s="171" t="s">
        <v>299</v>
      </c>
      <c r="P5" s="172">
        <f t="shared" si="0"/>
        <v>3.2999999999999829</v>
      </c>
      <c r="Q5" s="172">
        <f t="shared" si="0"/>
        <v>17.399999999999991</v>
      </c>
      <c r="R5" s="172">
        <f t="shared" si="0"/>
        <v>-11.199999999999996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174" t="str">
        <f t="shared" ref="P6:R7" si="1">IF($J$9&gt;100,CT218,"0")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175" t="str">
        <f t="shared" si="1"/>
        <v>0</v>
      </c>
      <c r="Q7" s="176" t="str">
        <f t="shared" si="1"/>
        <v>0</v>
      </c>
      <c r="R7" s="176" t="str">
        <f t="shared" si="1"/>
        <v>0</v>
      </c>
    </row>
    <row r="8" spans="2:18" ht="15">
      <c r="B8" s="4" t="s">
        <v>8</v>
      </c>
      <c r="C8" s="28" t="s">
        <v>105</v>
      </c>
      <c r="E8" s="29">
        <v>1</v>
      </c>
      <c r="F8" s="74">
        <v>9000</v>
      </c>
      <c r="G8" s="5" t="s">
        <v>16</v>
      </c>
      <c r="H8" s="74">
        <v>17</v>
      </c>
      <c r="I8" s="5" t="s">
        <v>17</v>
      </c>
      <c r="J8" s="30">
        <f>E8*F8*H8</f>
        <v>153000</v>
      </c>
      <c r="L8" s="19"/>
    </row>
    <row r="9" spans="2:18" ht="15.75" thickBot="1">
      <c r="B9" s="4" t="s">
        <v>10</v>
      </c>
      <c r="C9" s="22" t="s">
        <v>34</v>
      </c>
      <c r="E9" s="31">
        <v>1</v>
      </c>
      <c r="F9" s="90">
        <v>11</v>
      </c>
      <c r="G9" s="2" t="s">
        <v>2</v>
      </c>
      <c r="H9" s="43"/>
      <c r="I9" s="2" t="s">
        <v>9</v>
      </c>
      <c r="J9" s="32">
        <f>E9*F9*H9</f>
        <v>0</v>
      </c>
      <c r="L9" s="19" t="s">
        <v>301</v>
      </c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153000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42">
        <v>2.4</v>
      </c>
      <c r="G12" s="3" t="s">
        <v>14</v>
      </c>
      <c r="H12" s="43">
        <v>3700</v>
      </c>
      <c r="I12" s="3" t="s">
        <v>15</v>
      </c>
      <c r="J12" s="41">
        <f t="shared" ref="J12:J45" si="2">E12*F12*H12</f>
        <v>8880</v>
      </c>
      <c r="L12" s="19" t="s">
        <v>48</v>
      </c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D14" s="44" t="s">
        <v>302</v>
      </c>
      <c r="E14" s="177">
        <v>5</v>
      </c>
      <c r="F14" s="43">
        <v>20000</v>
      </c>
      <c r="G14" s="2" t="s">
        <v>62</v>
      </c>
      <c r="H14" s="57">
        <v>1.5</v>
      </c>
      <c r="I14" s="2" t="s">
        <v>17</v>
      </c>
      <c r="J14" s="41">
        <f>H14*F14*IF(E14=1,0.5, IF(E14=2,0.3,IF(E14=3,0.2,"0")))</f>
        <v>0</v>
      </c>
      <c r="L14" s="19" t="s">
        <v>303</v>
      </c>
    </row>
    <row r="15" spans="2:18">
      <c r="D15" s="44" t="s">
        <v>304</v>
      </c>
      <c r="E15" s="56">
        <v>1</v>
      </c>
      <c r="F15" s="43">
        <v>250</v>
      </c>
      <c r="G15" s="2" t="s">
        <v>62</v>
      </c>
      <c r="H15" s="57">
        <v>28</v>
      </c>
      <c r="I15" s="2" t="s">
        <v>17</v>
      </c>
      <c r="J15" s="41">
        <f t="shared" si="2"/>
        <v>7000</v>
      </c>
      <c r="L15" s="19"/>
    </row>
    <row r="16" spans="2:18">
      <c r="D16" s="44" t="s">
        <v>305</v>
      </c>
      <c r="E16" s="56">
        <v>1</v>
      </c>
      <c r="F16" s="43">
        <v>100</v>
      </c>
      <c r="G16" s="2" t="s">
        <v>62</v>
      </c>
      <c r="H16" s="57">
        <v>48</v>
      </c>
      <c r="I16" s="2" t="s">
        <v>17</v>
      </c>
      <c r="J16" s="41">
        <f t="shared" si="2"/>
        <v>4800</v>
      </c>
      <c r="L16" s="19"/>
    </row>
    <row r="17" spans="2:18">
      <c r="D17" s="44" t="s">
        <v>306</v>
      </c>
      <c r="E17" s="56">
        <v>1</v>
      </c>
      <c r="F17" s="43">
        <v>250</v>
      </c>
      <c r="G17" s="2" t="s">
        <v>62</v>
      </c>
      <c r="H17" s="57">
        <v>34</v>
      </c>
      <c r="I17" s="2" t="s">
        <v>17</v>
      </c>
      <c r="J17" s="41">
        <f t="shared" si="2"/>
        <v>8500</v>
      </c>
      <c r="L17" s="19"/>
    </row>
    <row r="18" spans="2:18">
      <c r="D18" s="44"/>
      <c r="E18" s="56">
        <v>1</v>
      </c>
      <c r="F18" s="43"/>
      <c r="G18" s="2" t="s">
        <v>62</v>
      </c>
      <c r="H18" s="57"/>
      <c r="I18" s="2" t="s">
        <v>17</v>
      </c>
      <c r="J18" s="41">
        <f t="shared" si="2"/>
        <v>0</v>
      </c>
      <c r="L18" s="19"/>
    </row>
    <row r="19" spans="2:18" ht="15">
      <c r="D19" s="44"/>
      <c r="E19" s="56">
        <v>1</v>
      </c>
      <c r="F19" s="43"/>
      <c r="G19" s="2" t="s">
        <v>62</v>
      </c>
      <c r="H19" s="57"/>
      <c r="I19" s="2" t="s">
        <v>17</v>
      </c>
      <c r="J19" s="41"/>
      <c r="L19" s="19"/>
      <c r="P19" s="178" t="s">
        <v>295</v>
      </c>
      <c r="Q19" s="178" t="s">
        <v>296</v>
      </c>
      <c r="R19" s="178" t="s">
        <v>297</v>
      </c>
    </row>
    <row r="20" spans="2:18">
      <c r="D20" s="179" t="s">
        <v>307</v>
      </c>
      <c r="E20" s="56">
        <v>1</v>
      </c>
      <c r="F20" s="43">
        <v>100</v>
      </c>
      <c r="G20" s="2" t="s">
        <v>62</v>
      </c>
      <c r="H20" s="57"/>
      <c r="I20" s="2" t="s">
        <v>17</v>
      </c>
      <c r="J20" s="41"/>
      <c r="L20" s="180" t="s">
        <v>308</v>
      </c>
      <c r="P20" s="181">
        <v>0.1</v>
      </c>
      <c r="Q20" s="181">
        <v>0.1</v>
      </c>
      <c r="R20" s="181">
        <v>0.1</v>
      </c>
    </row>
    <row r="21" spans="2:18">
      <c r="D21" s="179"/>
      <c r="E21" s="56">
        <v>1</v>
      </c>
      <c r="F21" s="43"/>
      <c r="G21" s="2" t="s">
        <v>62</v>
      </c>
      <c r="H21" s="57"/>
      <c r="I21" s="2" t="s">
        <v>17</v>
      </c>
      <c r="J21" s="41">
        <f t="shared" si="2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63</v>
      </c>
      <c r="E23" s="56">
        <v>1</v>
      </c>
      <c r="F23" s="57">
        <v>3</v>
      </c>
      <c r="G23" s="2" t="s">
        <v>59</v>
      </c>
      <c r="H23" s="43">
        <v>900</v>
      </c>
      <c r="I23" s="2" t="s">
        <v>25</v>
      </c>
      <c r="J23" s="41">
        <f t="shared" si="2"/>
        <v>2700</v>
      </c>
      <c r="L23" s="19"/>
    </row>
    <row r="24" spans="2:18">
      <c r="D24" s="44" t="s">
        <v>64</v>
      </c>
      <c r="E24" s="56">
        <v>1</v>
      </c>
      <c r="F24" s="57">
        <v>3</v>
      </c>
      <c r="G24" s="2" t="s">
        <v>59</v>
      </c>
      <c r="H24" s="43">
        <v>600</v>
      </c>
      <c r="I24" s="2" t="s">
        <v>25</v>
      </c>
      <c r="J24" s="41">
        <f t="shared" si="2"/>
        <v>1800</v>
      </c>
      <c r="L24" s="19"/>
    </row>
    <row r="25" spans="2:18">
      <c r="D25" s="44" t="s">
        <v>20</v>
      </c>
      <c r="E25" s="56">
        <v>1</v>
      </c>
      <c r="F25" s="57"/>
      <c r="H25" s="43"/>
      <c r="J25" s="41">
        <f t="shared" si="2"/>
        <v>0</v>
      </c>
      <c r="L25" s="19"/>
    </row>
    <row r="26" spans="2:18">
      <c r="D26" s="44" t="s">
        <v>21</v>
      </c>
      <c r="E26" s="56">
        <v>1</v>
      </c>
      <c r="F26" s="57"/>
      <c r="H26" s="43"/>
      <c r="J26" s="41">
        <f t="shared" si="2"/>
        <v>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2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2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3</v>
      </c>
      <c r="F30" s="57">
        <v>15</v>
      </c>
      <c r="G30" s="2" t="s">
        <v>59</v>
      </c>
      <c r="H30" s="43">
        <v>145</v>
      </c>
      <c r="I30" s="2" t="s">
        <v>25</v>
      </c>
      <c r="J30" s="41">
        <f t="shared" si="2"/>
        <v>6525</v>
      </c>
      <c r="L30" s="19" t="s">
        <v>309</v>
      </c>
    </row>
    <row r="31" spans="2:18">
      <c r="B31" s="8" t="s">
        <v>26</v>
      </c>
      <c r="C31" s="2" t="s">
        <v>38</v>
      </c>
      <c r="E31" s="31"/>
      <c r="F31" s="57">
        <v>40</v>
      </c>
      <c r="G31" s="2" t="s">
        <v>59</v>
      </c>
      <c r="H31" s="43">
        <f>+Resursi!G30</f>
        <v>145</v>
      </c>
      <c r="I31" s="2" t="s">
        <v>25</v>
      </c>
      <c r="J31" s="41">
        <f t="shared" si="2"/>
        <v>0</v>
      </c>
      <c r="L31" s="19"/>
    </row>
    <row r="32" spans="2:18">
      <c r="B32" s="8" t="s">
        <v>29</v>
      </c>
      <c r="C32" s="2" t="s">
        <v>39</v>
      </c>
      <c r="E32" s="23"/>
      <c r="F32" s="2">
        <v>1</v>
      </c>
      <c r="G32" s="2" t="s">
        <v>1</v>
      </c>
      <c r="H32" s="6">
        <f>Resursi!G15*(F31+F30*E30)</f>
        <v>1225.9615384615386</v>
      </c>
      <c r="I32" s="2" t="s">
        <v>27</v>
      </c>
      <c r="J32" s="41">
        <f t="shared" si="2"/>
        <v>0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>
        <v>1</v>
      </c>
      <c r="G34" s="2" t="s">
        <v>1</v>
      </c>
      <c r="H34" s="43">
        <v>9000</v>
      </c>
      <c r="I34" s="2" t="s">
        <v>27</v>
      </c>
      <c r="J34" s="41">
        <f t="shared" si="2"/>
        <v>9000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2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/>
      <c r="G36" s="2" t="s">
        <v>1</v>
      </c>
      <c r="H36" s="43"/>
      <c r="I36" s="2" t="s">
        <v>27</v>
      </c>
      <c r="J36" s="41">
        <f t="shared" si="2"/>
        <v>0</v>
      </c>
      <c r="L36" s="19"/>
    </row>
    <row r="37" spans="2:12">
      <c r="B37" s="8"/>
      <c r="C37" s="58"/>
      <c r="D37" s="59" t="s">
        <v>45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2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2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2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30</v>
      </c>
      <c r="G40" s="2" t="s">
        <v>66</v>
      </c>
      <c r="H40" s="43">
        <v>150</v>
      </c>
      <c r="I40" s="2" t="s">
        <v>70</v>
      </c>
      <c r="J40" s="41">
        <f>E40*F40*H40</f>
        <v>4500</v>
      </c>
      <c r="L40" s="19" t="s">
        <v>76</v>
      </c>
    </row>
    <row r="41" spans="2:12">
      <c r="B41" s="8" t="s">
        <v>50</v>
      </c>
      <c r="C41" s="2" t="s">
        <v>126</v>
      </c>
      <c r="E41" s="23"/>
      <c r="F41" s="6"/>
      <c r="H41" s="6"/>
      <c r="J41" s="41"/>
      <c r="L41" s="19"/>
    </row>
    <row r="42" spans="2:12">
      <c r="D42" s="57" t="s">
        <v>60</v>
      </c>
      <c r="E42" s="31">
        <v>1</v>
      </c>
      <c r="F42" s="43">
        <v>9000</v>
      </c>
      <c r="G42" s="2" t="s">
        <v>62</v>
      </c>
      <c r="H42" s="94">
        <v>0.1</v>
      </c>
      <c r="I42" s="2" t="s">
        <v>17</v>
      </c>
      <c r="J42" s="41">
        <f t="shared" si="2"/>
        <v>900</v>
      </c>
      <c r="L42" s="19" t="s">
        <v>310</v>
      </c>
    </row>
    <row r="43" spans="2:12">
      <c r="D43" s="57" t="s">
        <v>65</v>
      </c>
      <c r="E43" s="56">
        <v>1</v>
      </c>
      <c r="F43" s="242">
        <v>9000</v>
      </c>
      <c r="G43" s="2" t="s">
        <v>62</v>
      </c>
      <c r="H43" s="94">
        <v>0.6</v>
      </c>
      <c r="I43" s="2" t="s">
        <v>17</v>
      </c>
      <c r="J43" s="41">
        <f t="shared" si="2"/>
        <v>5400</v>
      </c>
      <c r="L43" s="19"/>
    </row>
    <row r="44" spans="2:12">
      <c r="D44" s="57" t="s">
        <v>61</v>
      </c>
      <c r="E44" s="31">
        <v>1</v>
      </c>
      <c r="F44" s="242">
        <v>9000</v>
      </c>
      <c r="G44" s="2" t="s">
        <v>62</v>
      </c>
      <c r="H44" s="94">
        <v>0.3</v>
      </c>
      <c r="I44" s="2" t="s">
        <v>17</v>
      </c>
      <c r="J44" s="41">
        <f t="shared" si="2"/>
        <v>2700</v>
      </c>
      <c r="L44" s="19"/>
    </row>
    <row r="45" spans="2:12" ht="15" thickBot="1">
      <c r="B45" s="2" t="s">
        <v>51</v>
      </c>
      <c r="C45" s="58" t="s">
        <v>155</v>
      </c>
      <c r="D45" s="3"/>
      <c r="E45" s="56">
        <v>1</v>
      </c>
      <c r="F45" s="104">
        <v>1</v>
      </c>
      <c r="G45" s="3" t="s">
        <v>1</v>
      </c>
      <c r="H45" s="43">
        <v>2500</v>
      </c>
      <c r="I45" s="2" t="s">
        <v>27</v>
      </c>
      <c r="J45" s="41">
        <f t="shared" si="2"/>
        <v>2500</v>
      </c>
      <c r="L45" s="19"/>
    </row>
    <row r="46" spans="2:12" ht="15.75" thickBot="1">
      <c r="B46" s="33"/>
      <c r="C46" s="34" t="s">
        <v>67</v>
      </c>
      <c r="D46" s="35"/>
      <c r="E46" s="35"/>
      <c r="F46" s="36"/>
      <c r="G46" s="37"/>
      <c r="H46" s="36"/>
      <c r="I46" s="37"/>
      <c r="J46" s="38">
        <f>SUM(J12:J45)</f>
        <v>76205</v>
      </c>
      <c r="L46" s="19"/>
    </row>
    <row r="47" spans="2:12" ht="15.75" thickBot="1">
      <c r="B47" s="61" t="s">
        <v>69</v>
      </c>
      <c r="C47" s="62" t="s">
        <v>68</v>
      </c>
      <c r="D47" s="62"/>
      <c r="E47" s="63"/>
      <c r="F47" s="63"/>
      <c r="G47" s="63"/>
      <c r="H47" s="64"/>
      <c r="I47" s="63"/>
      <c r="J47" s="21">
        <f>J10-J46</f>
        <v>76795</v>
      </c>
      <c r="L47" s="19"/>
    </row>
    <row r="48" spans="2:12" ht="16.5" thickTop="1" thickBot="1">
      <c r="B48" s="61" t="s">
        <v>311</v>
      </c>
      <c r="C48" s="62" t="s">
        <v>312</v>
      </c>
      <c r="D48" s="62"/>
      <c r="E48" s="63"/>
      <c r="F48" s="63"/>
      <c r="G48" s="63"/>
      <c r="H48" s="64"/>
      <c r="I48" s="63"/>
      <c r="J48" s="21">
        <f>J10-J46+IF(J9&gt;100,CO224,IF(J9&lt;100,CD224,"0"))</f>
        <v>77886.808307692307</v>
      </c>
      <c r="L48" s="19"/>
    </row>
    <row r="49" spans="2:8" ht="15" thickTop="1"/>
    <row r="50" spans="2:8" ht="15.75" thickBot="1">
      <c r="C50" s="80" t="s">
        <v>121</v>
      </c>
      <c r="D50" s="81"/>
      <c r="E50" s="81"/>
      <c r="F50" s="81"/>
      <c r="G50" s="81"/>
      <c r="H50" s="81"/>
    </row>
    <row r="51" spans="2:8" ht="15" thickBot="1"/>
    <row r="52" spans="2:8" ht="15.75" thickTop="1">
      <c r="C52" s="65" t="s">
        <v>7</v>
      </c>
      <c r="D52" s="66"/>
      <c r="E52" s="66"/>
      <c r="F52" s="67" t="s">
        <v>72</v>
      </c>
    </row>
    <row r="53" spans="2:8">
      <c r="C53" s="45" t="s">
        <v>33</v>
      </c>
      <c r="F53" s="6">
        <f>J8</f>
        <v>153000</v>
      </c>
    </row>
    <row r="54" spans="2:8" ht="15" thickBot="1">
      <c r="C54" s="46" t="s">
        <v>34</v>
      </c>
      <c r="F54" s="6">
        <f>J9</f>
        <v>0</v>
      </c>
    </row>
    <row r="55" spans="2:8" ht="15.75" thickBot="1">
      <c r="B55" s="47"/>
      <c r="C55" s="34" t="s">
        <v>32</v>
      </c>
      <c r="D55" s="35"/>
      <c r="E55" s="35"/>
      <c r="F55" s="48">
        <f>J10</f>
        <v>153000</v>
      </c>
    </row>
    <row r="56" spans="2:8" ht="15">
      <c r="B56" s="47"/>
      <c r="C56" s="22" t="s">
        <v>12</v>
      </c>
      <c r="F56" s="6"/>
    </row>
    <row r="57" spans="2:8">
      <c r="C57" s="46" t="s">
        <v>13</v>
      </c>
      <c r="F57" s="6">
        <f>J12</f>
        <v>8880</v>
      </c>
    </row>
    <row r="58" spans="2:8">
      <c r="C58" s="46" t="s">
        <v>71</v>
      </c>
      <c r="F58" s="6">
        <f>SUM(J14:J21)</f>
        <v>20300</v>
      </c>
    </row>
    <row r="59" spans="2:8">
      <c r="C59" s="46" t="s">
        <v>19</v>
      </c>
      <c r="F59" s="6">
        <f>SUM(J23:J28)</f>
        <v>4500</v>
      </c>
    </row>
    <row r="60" spans="2:8">
      <c r="C60" s="46" t="s">
        <v>36</v>
      </c>
      <c r="F60" s="6">
        <f>J30</f>
        <v>6525</v>
      </c>
    </row>
    <row r="61" spans="2:8">
      <c r="C61" s="46" t="s">
        <v>38</v>
      </c>
      <c r="F61" s="6">
        <f>J31</f>
        <v>0</v>
      </c>
    </row>
    <row r="62" spans="2:8">
      <c r="C62" s="46" t="s">
        <v>39</v>
      </c>
      <c r="F62" s="6">
        <f>J32</f>
        <v>0</v>
      </c>
    </row>
    <row r="63" spans="2:8">
      <c r="C63" s="46" t="s">
        <v>42</v>
      </c>
      <c r="F63" s="6">
        <f>SUM(J34:J39)</f>
        <v>20000</v>
      </c>
    </row>
    <row r="64" spans="2:8">
      <c r="C64" s="46" t="s">
        <v>37</v>
      </c>
      <c r="F64" s="6">
        <f>J40</f>
        <v>4500</v>
      </c>
    </row>
    <row r="65" spans="3:6">
      <c r="C65" s="46" t="s">
        <v>126</v>
      </c>
      <c r="F65" s="6">
        <f>SUM(J42:J44)</f>
        <v>9000</v>
      </c>
    </row>
    <row r="66" spans="3:6" ht="15" thickBot="1">
      <c r="C66" s="103" t="s">
        <v>155</v>
      </c>
      <c r="F66" s="6">
        <f>J45</f>
        <v>2500</v>
      </c>
    </row>
    <row r="67" spans="3:6" ht="15.75" thickBot="1">
      <c r="C67" s="34" t="s">
        <v>67</v>
      </c>
      <c r="D67" s="35"/>
      <c r="E67" s="35"/>
      <c r="F67" s="48">
        <f>SUM(F57:F66)</f>
        <v>76205</v>
      </c>
    </row>
    <row r="68" spans="3:6" ht="15.75" thickBot="1">
      <c r="C68" s="62" t="s">
        <v>30</v>
      </c>
      <c r="D68" s="63"/>
      <c r="E68" s="63"/>
      <c r="F68" s="68">
        <f>F55-F67</f>
        <v>76795</v>
      </c>
    </row>
    <row r="69" spans="3:6" ht="15.75" thickTop="1">
      <c r="C69" s="87"/>
      <c r="D69" s="88"/>
      <c r="E69" s="88"/>
      <c r="F69" s="54"/>
    </row>
    <row r="94" spans="4:10" ht="15.75" thickBot="1">
      <c r="D94" s="80" t="s">
        <v>73</v>
      </c>
      <c r="E94" s="81"/>
      <c r="F94" s="81"/>
      <c r="G94" s="81"/>
      <c r="H94" s="81"/>
      <c r="I94" s="81"/>
      <c r="J94" s="81"/>
    </row>
    <row r="96" spans="4:10" ht="15.75" thickBot="1">
      <c r="D96" s="10"/>
      <c r="E96" s="11"/>
      <c r="F96" s="12"/>
      <c r="G96" s="49"/>
      <c r="H96" s="49" t="s">
        <v>106</v>
      </c>
      <c r="I96" s="49"/>
      <c r="J96" s="70"/>
    </row>
    <row r="97" spans="4:10">
      <c r="D97" s="13"/>
      <c r="E97" s="14"/>
      <c r="F97" s="100">
        <v>-0.2</v>
      </c>
      <c r="G97" s="100">
        <v>-0.1</v>
      </c>
      <c r="H97" s="50" t="s">
        <v>75</v>
      </c>
      <c r="I97" s="100">
        <v>0.1</v>
      </c>
      <c r="J97" s="101">
        <v>0.2</v>
      </c>
    </row>
    <row r="98" spans="4:10" ht="15.75" thickBot="1">
      <c r="D98" s="51" t="s">
        <v>74</v>
      </c>
      <c r="E98" s="52"/>
      <c r="F98" s="83">
        <f>H98*(1+F97)</f>
        <v>13.600000000000001</v>
      </c>
      <c r="G98" s="83">
        <f>H98*(1+G97)</f>
        <v>15.3</v>
      </c>
      <c r="H98" s="83">
        <f>H8</f>
        <v>17</v>
      </c>
      <c r="I98" s="84">
        <f>$H$98*(1+I97)</f>
        <v>18.700000000000003</v>
      </c>
      <c r="J98" s="85">
        <f>$H$98*(1+J97)</f>
        <v>20.399999999999999</v>
      </c>
    </row>
    <row r="99" spans="4:10" ht="15">
      <c r="D99" s="98">
        <v>-0.2</v>
      </c>
      <c r="E99" s="53">
        <f>$E$101*(1+D99)</f>
        <v>7200</v>
      </c>
      <c r="F99" s="79">
        <f>$H$99-$E$99*($H$98-F98)</f>
        <v>22806.808307692318</v>
      </c>
      <c r="G99" s="79">
        <f>$H$99-$E$99*($H$98-G98)</f>
        <v>35046.808307692314</v>
      </c>
      <c r="H99" s="79">
        <f>$H$101-($E$101-E99)*$H$98</f>
        <v>47286.808307692307</v>
      </c>
      <c r="I99" s="75">
        <f>$H$99+$E$99*(I98-$H$98)</f>
        <v>59526.808307692329</v>
      </c>
      <c r="J99" s="76">
        <f>$H$99+$E$99*(J98-$H$98)</f>
        <v>71766.808307692292</v>
      </c>
    </row>
    <row r="100" spans="4:10" ht="15">
      <c r="D100" s="98">
        <v>-0.1</v>
      </c>
      <c r="E100" s="53">
        <f>$E$101*(1+D100)</f>
        <v>8100</v>
      </c>
      <c r="F100" s="79">
        <f>$H$100-$E$100*($H$98-F98)</f>
        <v>35046.808307692321</v>
      </c>
      <c r="G100" s="79">
        <f>$H$100-$E$100*($H$98-G98)</f>
        <v>48816.808307692314</v>
      </c>
      <c r="H100" s="79">
        <f>$H$101-($E$101-E100)*$H$98</f>
        <v>62586.808307692307</v>
      </c>
      <c r="I100" s="79">
        <f>$H$100+$E$100*(I98-$H$98)</f>
        <v>76356.808307692336</v>
      </c>
      <c r="J100" s="82">
        <f>$H$100+$E$100*(J98-$H$98)</f>
        <v>90126.808307692292</v>
      </c>
    </row>
    <row r="101" spans="4:10" ht="15">
      <c r="D101" s="16" t="s">
        <v>31</v>
      </c>
      <c r="E101" s="53">
        <f>F8</f>
        <v>9000</v>
      </c>
      <c r="F101" s="79">
        <f>$H$101-$E$101*($H$98-F98)</f>
        <v>47286.808307692321</v>
      </c>
      <c r="G101" s="79">
        <f>$H$101-$E$101*($H$98-G98)</f>
        <v>62586.808307692314</v>
      </c>
      <c r="H101" s="54">
        <f>J48</f>
        <v>77886.808307692307</v>
      </c>
      <c r="I101" s="75">
        <f>$H$101+$E$101*(I98-$H$98)</f>
        <v>93186.808307692336</v>
      </c>
      <c r="J101" s="76">
        <f>$H$101+$E$101*(J98-$H$98)</f>
        <v>108486.80830769229</v>
      </c>
    </row>
    <row r="102" spans="4:10" ht="15">
      <c r="D102" s="98">
        <v>0.1</v>
      </c>
      <c r="E102" s="69">
        <f>$E$101*(1+D102)</f>
        <v>9900</v>
      </c>
      <c r="F102" s="75">
        <f>$H$102-$E$102*($H$98-F98)</f>
        <v>59526.808307692321</v>
      </c>
      <c r="G102" s="75">
        <f>$H$102-$E$102*($H$98-G98)</f>
        <v>76356.808307692321</v>
      </c>
      <c r="H102" s="79">
        <f>$H$101-($E$101-E102)*$H$98</f>
        <v>93186.808307692307</v>
      </c>
      <c r="I102" s="75">
        <f>$H$102+$E$102*(I98-$H$98)</f>
        <v>110016.80830769234</v>
      </c>
      <c r="J102" s="76">
        <f>$H$102+$E$102*(J98-$H$98)</f>
        <v>126846.80830769229</v>
      </c>
    </row>
    <row r="103" spans="4:10" ht="15">
      <c r="D103" s="99">
        <v>0.2</v>
      </c>
      <c r="E103" s="71">
        <f>$E$101*(1+D103)</f>
        <v>10800</v>
      </c>
      <c r="F103" s="77">
        <f>$H$103-$E$103*($H$98-F98)</f>
        <v>71766.808307692321</v>
      </c>
      <c r="G103" s="77">
        <f>$H$103-$E$103*($H$98-G98)</f>
        <v>90126.808307692321</v>
      </c>
      <c r="H103" s="86">
        <f>$H$101-($E$101-E103)*$H$98</f>
        <v>108486.80830769231</v>
      </c>
      <c r="I103" s="77">
        <f>$H$103+$E$103*(I98-$H$98)</f>
        <v>126846.80830769234</v>
      </c>
      <c r="J103" s="78">
        <f>$H$103+$E$103*(J98-$H$98)</f>
        <v>145206.80830769229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16:16:16</v>
      </c>
      <c r="CD206" s="191">
        <f>+F15</f>
        <v>250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I206">
        <f>$CD206*CF206</f>
        <v>40</v>
      </c>
      <c r="CJ206">
        <f t="shared" ref="CJ206:CK212" si="3">$CD206*CG206</f>
        <v>40</v>
      </c>
      <c r="CK206">
        <f t="shared" si="3"/>
        <v>40</v>
      </c>
      <c r="CL206"/>
      <c r="CM206"/>
      <c r="CN206" s="193" t="str">
        <f>D15</f>
        <v>NPK 16:16:16</v>
      </c>
      <c r="CO206" s="191">
        <f>+F15</f>
        <v>250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T206">
        <f>CO206*CQ206</f>
        <v>40</v>
      </c>
      <c r="CU206">
        <f>CO206*CR206</f>
        <v>40</v>
      </c>
      <c r="CV206">
        <f>CO206*CS206</f>
        <v>40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4">+D16</f>
        <v>MAP 12:52:0</v>
      </c>
      <c r="CD207" s="191">
        <f t="shared" ref="CD207:CD212" si="5">+F16</f>
        <v>100</v>
      </c>
      <c r="CE207" t="s">
        <v>16</v>
      </c>
      <c r="CF207" s="192">
        <f t="shared" ref="CF207:CF210" si="6">IF($CC207=$CZ$203,$DA$203,IF($CC207=$CZ$204,$DA$204,IF($CC207=$CZ$205,$DA$205,IF($CC207=CZ$206,$DA$206, IF($CC207=CZ$207,$DA$207,IF($CC207=$CZ$208,$DA$208,IF($CC207=$CZ$209,$DA$209,IF($CC207=$CZ$210,$DA$210,"0%"))))))))</f>
        <v>0.12</v>
      </c>
      <c r="CG207" s="192">
        <f t="shared" ref="CG207:CG210" si="7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192">
        <f t="shared" ref="CH207:CH210" si="8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12</v>
      </c>
      <c r="CJ207">
        <f t="shared" si="3"/>
        <v>52</v>
      </c>
      <c r="CK207">
        <f t="shared" si="3"/>
        <v>0</v>
      </c>
      <c r="CL207"/>
      <c r="CM207"/>
      <c r="CN207" s="193" t="str">
        <f t="shared" ref="CN207:CN212" si="9">D16</f>
        <v>MAP 12:52:0</v>
      </c>
      <c r="CO207" s="191">
        <f t="shared" ref="CO207:CO212" si="10">+F16</f>
        <v>100</v>
      </c>
      <c r="CP207" t="s">
        <v>16</v>
      </c>
      <c r="CQ207" s="192">
        <f t="shared" ref="CQ207:CQ210" si="11">IF($CC207=$CZ$203,$DA$203,IF($CC207=$CZ$204,$DA$204,IF($CC207=$CZ$205,$DA$205,IF($CC207=$CZ$206,$DA$206, IF($CC207=$CZ$207,$DA$207,IF($CC207=$CZ$208,$DA$208,IF($CC207=$CZ$209,$DA$209,IF($CC207=$CZ$210,$DA$210,"0%"))))))))</f>
        <v>0.12</v>
      </c>
      <c r="CR207" s="192">
        <f t="shared" ref="CR207:CR210" si="12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192">
        <f t="shared" ref="CS207:CS210" si="13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4">CO207*CQ207</f>
        <v>12</v>
      </c>
      <c r="CU207">
        <f t="shared" ref="CU207:CU212" si="15">CO207*CR207</f>
        <v>52</v>
      </c>
      <c r="CV207">
        <f t="shared" ref="CV207:CV212" si="16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 t="str">
        <f t="shared" si="4"/>
        <v>UREA 46:0:0</v>
      </c>
      <c r="CD208" s="191">
        <f t="shared" si="5"/>
        <v>250</v>
      </c>
      <c r="CE208" t="s">
        <v>16</v>
      </c>
      <c r="CF208" s="192">
        <f t="shared" si="6"/>
        <v>0.46</v>
      </c>
      <c r="CG208" s="192">
        <f t="shared" si="7"/>
        <v>0</v>
      </c>
      <c r="CH208" s="192">
        <f t="shared" si="8"/>
        <v>0</v>
      </c>
      <c r="CI208">
        <f t="shared" ref="CI208:CI212" si="17">$CD208*CF208</f>
        <v>115</v>
      </c>
      <c r="CJ208">
        <f t="shared" si="3"/>
        <v>0</v>
      </c>
      <c r="CK208">
        <f t="shared" si="3"/>
        <v>0</v>
      </c>
      <c r="CL208"/>
      <c r="CM208"/>
      <c r="CN208" s="193" t="str">
        <f t="shared" si="9"/>
        <v>UREA 46:0:0</v>
      </c>
      <c r="CO208" s="191">
        <f t="shared" si="10"/>
        <v>250</v>
      </c>
      <c r="CP208" t="s">
        <v>16</v>
      </c>
      <c r="CQ208" s="192">
        <f t="shared" si="11"/>
        <v>0.46</v>
      </c>
      <c r="CR208" s="192">
        <f t="shared" si="12"/>
        <v>0</v>
      </c>
      <c r="CS208" s="192">
        <f t="shared" si="13"/>
        <v>0</v>
      </c>
      <c r="CT208">
        <f t="shared" si="14"/>
        <v>115</v>
      </c>
      <c r="CU208">
        <f t="shared" si="15"/>
        <v>0</v>
      </c>
      <c r="CV208">
        <f t="shared" si="16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4"/>
        <v>0</v>
      </c>
      <c r="CD209" s="191">
        <f t="shared" si="5"/>
        <v>0</v>
      </c>
      <c r="CE209" t="s">
        <v>16</v>
      </c>
      <c r="CF209" s="192" t="str">
        <f t="shared" si="6"/>
        <v>0%</v>
      </c>
      <c r="CG209" s="192" t="str">
        <f t="shared" si="7"/>
        <v>0%</v>
      </c>
      <c r="CH209" s="192" t="str">
        <f t="shared" si="8"/>
        <v>0%</v>
      </c>
      <c r="CI209">
        <f t="shared" si="17"/>
        <v>0</v>
      </c>
      <c r="CJ209">
        <f t="shared" si="3"/>
        <v>0</v>
      </c>
      <c r="CK209">
        <f t="shared" si="3"/>
        <v>0</v>
      </c>
      <c r="CL209"/>
      <c r="CM209"/>
      <c r="CN209" s="193">
        <f t="shared" si="9"/>
        <v>0</v>
      </c>
      <c r="CO209" s="191">
        <f t="shared" si="10"/>
        <v>0</v>
      </c>
      <c r="CP209" t="s">
        <v>16</v>
      </c>
      <c r="CQ209" s="192" t="str">
        <f t="shared" si="11"/>
        <v>0%</v>
      </c>
      <c r="CR209" s="192" t="str">
        <f t="shared" si="12"/>
        <v>0%</v>
      </c>
      <c r="CS209" s="192" t="str">
        <f t="shared" si="13"/>
        <v>0%</v>
      </c>
      <c r="CT209">
        <f t="shared" si="14"/>
        <v>0</v>
      </c>
      <c r="CU209">
        <f t="shared" si="15"/>
        <v>0</v>
      </c>
      <c r="CV209">
        <f t="shared" si="16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4"/>
        <v>0</v>
      </c>
      <c r="CD210" s="191">
        <f t="shared" si="5"/>
        <v>0</v>
      </c>
      <c r="CE210" t="s">
        <v>16</v>
      </c>
      <c r="CF210" s="192" t="str">
        <f t="shared" si="6"/>
        <v>0%</v>
      </c>
      <c r="CG210" s="192" t="str">
        <f t="shared" si="7"/>
        <v>0%</v>
      </c>
      <c r="CH210" s="192" t="str">
        <f t="shared" si="8"/>
        <v>0%</v>
      </c>
      <c r="CI210">
        <f t="shared" si="17"/>
        <v>0</v>
      </c>
      <c r="CJ210">
        <f t="shared" si="3"/>
        <v>0</v>
      </c>
      <c r="CK210">
        <f t="shared" si="3"/>
        <v>0</v>
      </c>
      <c r="CL210"/>
      <c r="CM210"/>
      <c r="CN210" s="193">
        <f t="shared" si="9"/>
        <v>0</v>
      </c>
      <c r="CO210" s="191">
        <f t="shared" si="10"/>
        <v>0</v>
      </c>
      <c r="CP210" t="s">
        <v>16</v>
      </c>
      <c r="CQ210" s="192" t="str">
        <f t="shared" si="11"/>
        <v>0%</v>
      </c>
      <c r="CR210" s="192" t="str">
        <f t="shared" si="12"/>
        <v>0%</v>
      </c>
      <c r="CS210" s="192" t="str">
        <f t="shared" si="13"/>
        <v>0%</v>
      </c>
      <c r="CT210">
        <f t="shared" si="14"/>
        <v>0</v>
      </c>
      <c r="CU210">
        <f t="shared" si="15"/>
        <v>0</v>
      </c>
      <c r="CV210">
        <f t="shared" si="16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 t="str">
        <f t="shared" si="4"/>
        <v>npk 10:10:10</v>
      </c>
      <c r="CD211" s="191">
        <f t="shared" si="5"/>
        <v>100</v>
      </c>
      <c r="CE211" t="s">
        <v>16</v>
      </c>
      <c r="CF211" s="192">
        <f t="shared" ref="CF211:CH212" si="18">+P20</f>
        <v>0.1</v>
      </c>
      <c r="CG211" s="192">
        <f t="shared" si="18"/>
        <v>0.1</v>
      </c>
      <c r="CH211" s="192">
        <f t="shared" si="18"/>
        <v>0.1</v>
      </c>
      <c r="CI211">
        <f t="shared" si="17"/>
        <v>10</v>
      </c>
      <c r="CJ211">
        <f t="shared" si="3"/>
        <v>10</v>
      </c>
      <c r="CK211">
        <f t="shared" si="3"/>
        <v>10</v>
      </c>
      <c r="CL211"/>
      <c r="CM211"/>
      <c r="CN211" s="193" t="str">
        <f t="shared" si="9"/>
        <v>npk 10:10:10</v>
      </c>
      <c r="CO211" s="191">
        <f t="shared" si="10"/>
        <v>100</v>
      </c>
      <c r="CP211" t="s">
        <v>16</v>
      </c>
      <c r="CQ211" s="197">
        <f t="shared" ref="CQ211:CS212" si="19">+P20</f>
        <v>0.1</v>
      </c>
      <c r="CR211" s="197">
        <f t="shared" si="19"/>
        <v>0.1</v>
      </c>
      <c r="CS211" s="197">
        <f t="shared" si="19"/>
        <v>0.1</v>
      </c>
      <c r="CT211">
        <f t="shared" si="14"/>
        <v>10</v>
      </c>
      <c r="CU211">
        <f t="shared" si="15"/>
        <v>10</v>
      </c>
      <c r="CV211">
        <f t="shared" si="16"/>
        <v>10</v>
      </c>
    </row>
    <row r="212" spans="81:107">
      <c r="CC212">
        <f t="shared" si="4"/>
        <v>0</v>
      </c>
      <c r="CD212" s="191">
        <f t="shared" si="5"/>
        <v>0</v>
      </c>
      <c r="CE212" t="s">
        <v>16</v>
      </c>
      <c r="CF212" s="192">
        <f t="shared" si="18"/>
        <v>0</v>
      </c>
      <c r="CG212" s="192">
        <f t="shared" si="18"/>
        <v>0</v>
      </c>
      <c r="CH212" s="192">
        <f t="shared" si="18"/>
        <v>0</v>
      </c>
      <c r="CI212">
        <f t="shared" si="17"/>
        <v>0</v>
      </c>
      <c r="CJ212">
        <f t="shared" si="3"/>
        <v>0</v>
      </c>
      <c r="CK212">
        <f t="shared" si="3"/>
        <v>0</v>
      </c>
      <c r="CL212"/>
      <c r="CM212"/>
      <c r="CN212" s="193">
        <f t="shared" si="9"/>
        <v>0</v>
      </c>
      <c r="CO212" s="191">
        <f t="shared" si="10"/>
        <v>0</v>
      </c>
      <c r="CP212" t="s">
        <v>16</v>
      </c>
      <c r="CQ212" s="197">
        <f t="shared" si="19"/>
        <v>0</v>
      </c>
      <c r="CR212" s="197">
        <f t="shared" si="19"/>
        <v>0</v>
      </c>
      <c r="CS212" s="197">
        <f t="shared" si="19"/>
        <v>0</v>
      </c>
      <c r="CT212">
        <f t="shared" si="14"/>
        <v>0</v>
      </c>
      <c r="CU212">
        <f t="shared" si="15"/>
        <v>0</v>
      </c>
      <c r="CV212">
        <f t="shared" si="16"/>
        <v>0</v>
      </c>
    </row>
    <row r="213" spans="81:107">
      <c r="CC213" t="s">
        <v>327</v>
      </c>
      <c r="CD213" s="191">
        <f>+F14/1000</f>
        <v>20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327</v>
      </c>
      <c r="CO213" s="191">
        <f>+F14/1000</f>
        <v>20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328</v>
      </c>
      <c r="CD214" s="200">
        <f>+E14</f>
        <v>5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5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177</v>
      </c>
      <c r="CJ215">
        <f>SUM(CJ206:CJ214)</f>
        <v>102</v>
      </c>
      <c r="CK215">
        <f>SUM(CK206:CK214)</f>
        <v>50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177</v>
      </c>
      <c r="CU215">
        <f>SUM(CU206:CU214)</f>
        <v>102</v>
      </c>
      <c r="CV215">
        <f>SUM(CV206:CV214)</f>
        <v>50</v>
      </c>
    </row>
    <row r="216" spans="81:107">
      <c r="CC216" s="202" t="s">
        <v>330</v>
      </c>
      <c r="CD216" s="203">
        <f>+F8/1000</f>
        <v>9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330</v>
      </c>
      <c r="CO216" s="204">
        <f>+CD216</f>
        <v>9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19.3</v>
      </c>
      <c r="CJ217" s="205">
        <v>9.4</v>
      </c>
      <c r="CK217" s="205">
        <v>6.8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27.5</v>
      </c>
      <c r="CU217" s="205">
        <v>12.5</v>
      </c>
      <c r="CV217" s="205">
        <v>22.5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173.70000000000002</v>
      </c>
      <c r="CJ218">
        <f>CD216*CJ217</f>
        <v>84.600000000000009</v>
      </c>
      <c r="CK218">
        <f>CD216*CK217</f>
        <v>61.199999999999996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247.5</v>
      </c>
      <c r="CU218">
        <f>CO216*CU217</f>
        <v>112.5</v>
      </c>
      <c r="CV218">
        <f>CO216*CV217</f>
        <v>202.5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3.2999999999999829</v>
      </c>
      <c r="CJ219" s="209">
        <f>CJ215-CJ218</f>
        <v>17.399999999999991</v>
      </c>
      <c r="CK219" s="210">
        <f>CK215-CK218</f>
        <v>-11.199999999999996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-70.5</v>
      </c>
      <c r="CU219" s="210">
        <f>CU215-CU218</f>
        <v>-10.5</v>
      </c>
      <c r="CV219" s="210">
        <f>CV215-CV218</f>
        <v>-152.5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11">
        <f>+CI221</f>
        <v>73.91304347826086</v>
      </c>
      <c r="CU221" s="234">
        <f t="shared" ref="CU221:CV221" si="20">+CJ221</f>
        <v>90.168896321070235</v>
      </c>
      <c r="CV221" s="234">
        <f t="shared" si="20"/>
        <v>42.600936454849503</v>
      </c>
    </row>
    <row r="222" spans="81:107" ht="15">
      <c r="CC222" s="190" t="s">
        <v>334</v>
      </c>
      <c r="CD222" s="213">
        <f>SUMPRODUCT(CI221:CK221,CI215:CK215)</f>
        <v>24409.88294314381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24409.88294314381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23074.161591973247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37064.168729096986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1091.8083076923069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-7443.4162207357867</v>
      </c>
      <c r="CP224"/>
      <c r="CQ224"/>
      <c r="CR224"/>
      <c r="CS224"/>
      <c r="CT224"/>
      <c r="CU224"/>
      <c r="CV224"/>
    </row>
  </sheetData>
  <sheetProtection password="8730" sheet="1" objects="1" scenarios="1" formatCells="0"/>
  <protectedRanges>
    <protectedRange sqref="P20:R21" name="Range9"/>
    <protectedRange sqref="I97:J97" name="Range8"/>
    <protectedRange sqref="F97:G97" name="Range7"/>
    <protectedRange sqref="L4:L48" name="Range4_1_1"/>
    <protectedRange sqref="D99:D100" name="Range8_1"/>
    <protectedRange sqref="F8:I9" name="Range2_1"/>
    <protectedRange sqref="F4" name="Range1_1"/>
    <protectedRange sqref="D12:I45" name="Range4_1"/>
    <protectedRange sqref="D102:D103" name="Range9_1"/>
  </protectedRanges>
  <conditionalFormatting sqref="P5">
    <cfRule type="cellIs" dxfId="42" priority="8" operator="lessThan">
      <formula>0</formula>
    </cfRule>
    <cfRule type="cellIs" dxfId="41" priority="1" operator="lessThan">
      <formula>0</formula>
    </cfRule>
  </conditionalFormatting>
  <conditionalFormatting sqref="R5">
    <cfRule type="cellIs" dxfId="40" priority="7" operator="lessThan">
      <formula>0</formula>
    </cfRule>
  </conditionalFormatting>
  <conditionalFormatting sqref="Q5">
    <cfRule type="cellIs" dxfId="39" priority="6" operator="lessThan">
      <formula>0</formula>
    </cfRule>
    <cfRule type="cellIs" dxfId="38" priority="2" operator="lessThan">
      <formula>0</formula>
    </cfRule>
  </conditionalFormatting>
  <conditionalFormatting sqref="P7">
    <cfRule type="cellIs" dxfId="37" priority="5" operator="lessThan">
      <formula>0</formula>
    </cfRule>
  </conditionalFormatting>
  <conditionalFormatting sqref="Q7">
    <cfRule type="cellIs" dxfId="36" priority="4" operator="lessThan">
      <formula>0</formula>
    </cfRule>
  </conditionalFormatting>
  <conditionalFormatting sqref="R7">
    <cfRule type="cellIs" dxfId="35" priority="3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4" orientation="portrait" r:id="rId1"/>
  <rowBreaks count="1" manualBreakCount="1">
    <brk id="46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SheetLayoutView="100" workbookViewId="0">
      <selection activeCell="O25" sqref="O25"/>
    </sheetView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7.42578125" style="2" customWidth="1"/>
    <col min="6" max="6" width="12" style="2" customWidth="1"/>
    <col min="7" max="7" width="8.7109375" style="2" bestFit="1" customWidth="1"/>
    <col min="8" max="8" width="10.7109375" style="2" customWidth="1"/>
    <col min="9" max="9" width="8.7109375" style="2" bestFit="1" customWidth="1"/>
    <col min="10" max="10" width="16.28515625" style="2" customWidth="1"/>
    <col min="11" max="11" width="2.42578125" style="2" customWidth="1"/>
    <col min="12" max="12" width="10.5703125" style="1" customWidth="1"/>
    <col min="13" max="14" width="2.42578125" style="2" customWidth="1"/>
    <col min="15" max="15" width="20.7109375" style="2" customWidth="1"/>
    <col min="16" max="18" width="9.140625" style="2"/>
    <col min="19" max="19" width="20.7109375" style="2" customWidth="1"/>
    <col min="20" max="80" width="9.140625" style="2"/>
    <col min="81" max="81" width="19.140625" style="2" customWidth="1"/>
    <col min="82" max="89" width="9.140625" style="2"/>
    <col min="90" max="91" width="2.42578125" style="2" customWidth="1"/>
    <col min="92" max="92" width="19.140625" style="2" customWidth="1"/>
    <col min="93" max="100" width="9.140625" style="2"/>
    <col min="101" max="103" width="2.5703125" style="2" customWidth="1"/>
    <col min="104" max="104" width="12.7109375" style="2" customWidth="1"/>
    <col min="105" max="16384" width="9.140625" style="2"/>
  </cols>
  <sheetData>
    <row r="1" spans="2:18" ht="23.25">
      <c r="C1" s="73" t="s">
        <v>337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78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 t="s">
        <v>338</v>
      </c>
      <c r="L4" s="18"/>
      <c r="O4" s="169" t="s">
        <v>298</v>
      </c>
      <c r="P4" s="170">
        <f t="shared" ref="P4:R5" si="0">+CI218</f>
        <v>135.1</v>
      </c>
      <c r="Q4" s="170">
        <f t="shared" si="0"/>
        <v>65.8</v>
      </c>
      <c r="R4" s="170">
        <f t="shared" si="0"/>
        <v>44.1</v>
      </c>
    </row>
    <row r="5" spans="2:18" ht="15.75" thickBot="1">
      <c r="L5" s="19"/>
      <c r="O5" s="171" t="s">
        <v>299</v>
      </c>
      <c r="P5" s="172">
        <f t="shared" si="0"/>
        <v>7.0250000000000057</v>
      </c>
      <c r="Q5" s="172">
        <f t="shared" si="0"/>
        <v>-8.7999999999999972</v>
      </c>
      <c r="R5" s="172">
        <f t="shared" si="0"/>
        <v>24.9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174" t="str">
        <f t="shared" ref="P6:R7" si="1">IF($J$9&gt;100,CT218,"0")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218" t="str">
        <f t="shared" si="1"/>
        <v>0</v>
      </c>
      <c r="Q7" s="219" t="str">
        <f t="shared" si="1"/>
        <v>0</v>
      </c>
      <c r="R7" s="219" t="str">
        <f t="shared" si="1"/>
        <v>0</v>
      </c>
    </row>
    <row r="8" spans="2:18" ht="15">
      <c r="B8" s="4" t="s">
        <v>8</v>
      </c>
      <c r="C8" s="28" t="s">
        <v>109</v>
      </c>
      <c r="E8" s="29">
        <v>1</v>
      </c>
      <c r="F8" s="74">
        <v>7000</v>
      </c>
      <c r="G8" s="5" t="s">
        <v>16</v>
      </c>
      <c r="H8" s="74">
        <v>17</v>
      </c>
      <c r="I8" s="5" t="s">
        <v>17</v>
      </c>
      <c r="J8" s="30">
        <f>E8*F8*H8</f>
        <v>119000</v>
      </c>
      <c r="L8" s="19"/>
    </row>
    <row r="9" spans="2:18" ht="15.75" thickBot="1">
      <c r="B9" s="4" t="s">
        <v>10</v>
      </c>
      <c r="C9" s="22" t="s">
        <v>79</v>
      </c>
      <c r="E9" s="31">
        <v>1</v>
      </c>
      <c r="F9" s="90">
        <f>+F8/1000</f>
        <v>7</v>
      </c>
      <c r="G9" s="2" t="s">
        <v>2</v>
      </c>
      <c r="H9" s="43"/>
      <c r="I9" s="2" t="s">
        <v>9</v>
      </c>
      <c r="J9" s="32">
        <f>E9*F9*H9</f>
        <v>0</v>
      </c>
      <c r="L9" s="19" t="s">
        <v>339</v>
      </c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119000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93">
        <v>250</v>
      </c>
      <c r="G12" s="3" t="s">
        <v>62</v>
      </c>
      <c r="H12" s="43">
        <v>40</v>
      </c>
      <c r="I12" s="3" t="s">
        <v>15</v>
      </c>
      <c r="J12" s="41">
        <f t="shared" ref="J12" si="2">E12*F12*H12</f>
        <v>10000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302</v>
      </c>
      <c r="E14" s="177">
        <v>3</v>
      </c>
      <c r="F14" s="43">
        <v>20000</v>
      </c>
      <c r="G14" s="2" t="s">
        <v>62</v>
      </c>
      <c r="H14" s="57">
        <v>1.5</v>
      </c>
      <c r="I14" s="2" t="s">
        <v>17</v>
      </c>
      <c r="J14" s="41">
        <f>H14*F14*IF(E14=1,0.5, IF(E14=2,0.3,IF(E14=3,0.2,"0")))</f>
        <v>6000</v>
      </c>
      <c r="L14" s="19" t="s">
        <v>303</v>
      </c>
    </row>
    <row r="15" spans="2:18">
      <c r="D15" s="44" t="s">
        <v>315</v>
      </c>
      <c r="E15" s="56">
        <v>1</v>
      </c>
      <c r="F15" s="43">
        <v>300</v>
      </c>
      <c r="G15" s="2" t="s">
        <v>62</v>
      </c>
      <c r="H15" s="57">
        <v>40</v>
      </c>
      <c r="I15" s="2" t="s">
        <v>17</v>
      </c>
      <c r="J15" s="41">
        <f t="shared" ref="J15:J44" si="3">E15*F15*H15</f>
        <v>12000</v>
      </c>
      <c r="L15" s="19"/>
    </row>
    <row r="16" spans="2:18">
      <c r="D16" s="44" t="s">
        <v>306</v>
      </c>
      <c r="E16" s="56">
        <v>1</v>
      </c>
      <c r="F16" s="43">
        <v>100</v>
      </c>
      <c r="G16" s="2" t="s">
        <v>62</v>
      </c>
      <c r="H16" s="57">
        <v>34</v>
      </c>
      <c r="I16" s="2" t="s">
        <v>17</v>
      </c>
      <c r="J16" s="41">
        <f t="shared" si="3"/>
        <v>3400</v>
      </c>
      <c r="L16" s="19"/>
    </row>
    <row r="17" spans="2:18">
      <c r="D17" s="44" t="s">
        <v>326</v>
      </c>
      <c r="E17" s="56">
        <v>1</v>
      </c>
      <c r="F17" s="43">
        <v>75</v>
      </c>
      <c r="G17" s="2" t="s">
        <v>62</v>
      </c>
      <c r="H17" s="57">
        <v>30</v>
      </c>
      <c r="I17" s="2" t="s">
        <v>17</v>
      </c>
      <c r="J17" s="41">
        <f t="shared" si="3"/>
        <v>2250</v>
      </c>
      <c r="L17" s="19"/>
    </row>
    <row r="18" spans="2:18">
      <c r="D18" s="44"/>
      <c r="E18" s="56">
        <v>1</v>
      </c>
      <c r="F18" s="43"/>
      <c r="G18" s="2" t="s">
        <v>62</v>
      </c>
      <c r="H18" s="57"/>
      <c r="I18" s="2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/>
      <c r="G19" s="2" t="s">
        <v>62</v>
      </c>
      <c r="H19" s="57"/>
      <c r="I19" s="2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/>
      <c r="E20" s="56">
        <v>1</v>
      </c>
      <c r="F20" s="43"/>
      <c r="G20" s="2" t="s">
        <v>62</v>
      </c>
      <c r="H20" s="57"/>
      <c r="I20" s="2" t="s">
        <v>17</v>
      </c>
      <c r="J20" s="41">
        <f t="shared" si="3"/>
        <v>0</v>
      </c>
      <c r="L20" s="180" t="s">
        <v>308</v>
      </c>
      <c r="P20" s="181">
        <v>0</v>
      </c>
      <c r="Q20" s="181">
        <v>0</v>
      </c>
      <c r="R20" s="181">
        <v>0</v>
      </c>
    </row>
    <row r="21" spans="2:18">
      <c r="D21" s="179"/>
      <c r="E21" s="56">
        <v>1</v>
      </c>
      <c r="F21" s="43"/>
      <c r="G21" s="2" t="s">
        <v>62</v>
      </c>
      <c r="H21" s="57"/>
      <c r="I21" s="2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81</v>
      </c>
      <c r="E23" s="56">
        <v>1</v>
      </c>
      <c r="F23" s="57">
        <v>10</v>
      </c>
      <c r="G23" s="2" t="s">
        <v>80</v>
      </c>
      <c r="H23" s="90">
        <v>20</v>
      </c>
      <c r="I23" s="2" t="s">
        <v>98</v>
      </c>
      <c r="J23" s="41">
        <f t="shared" si="3"/>
        <v>200</v>
      </c>
      <c r="L23" s="19"/>
    </row>
    <row r="24" spans="2:18">
      <c r="D24" s="44" t="s">
        <v>340</v>
      </c>
      <c r="E24" s="56">
        <v>1</v>
      </c>
      <c r="F24" s="57"/>
      <c r="H24" s="43"/>
      <c r="J24" s="41">
        <f t="shared" si="3"/>
        <v>0</v>
      </c>
      <c r="L24" s="19"/>
    </row>
    <row r="25" spans="2:18">
      <c r="D25" s="44" t="s">
        <v>20</v>
      </c>
      <c r="E25" s="56">
        <v>1</v>
      </c>
      <c r="F25" s="57"/>
      <c r="H25" s="43"/>
      <c r="J25" s="41">
        <f t="shared" si="3"/>
        <v>0</v>
      </c>
      <c r="L25" s="19"/>
    </row>
    <row r="26" spans="2:18">
      <c r="D26" s="44" t="s">
        <v>21</v>
      </c>
      <c r="E26" s="56">
        <v>1</v>
      </c>
      <c r="F26" s="57"/>
      <c r="H26" s="43"/>
      <c r="J26" s="41">
        <f t="shared" si="3"/>
        <v>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3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3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1</v>
      </c>
      <c r="F30" s="57"/>
      <c r="G30" s="2" t="s">
        <v>59</v>
      </c>
      <c r="H30" s="43"/>
      <c r="I30" s="2" t="s">
        <v>25</v>
      </c>
      <c r="J30" s="41">
        <f t="shared" si="3"/>
        <v>0</v>
      </c>
      <c r="L30" s="19"/>
    </row>
    <row r="31" spans="2:18">
      <c r="B31" s="8" t="s">
        <v>26</v>
      </c>
      <c r="C31" s="2" t="s">
        <v>38</v>
      </c>
      <c r="E31" s="31">
        <v>1</v>
      </c>
      <c r="F31" s="57">
        <v>30</v>
      </c>
      <c r="G31" s="2" t="s">
        <v>59</v>
      </c>
      <c r="H31" s="43">
        <f>+Resursi!G30</f>
        <v>145</v>
      </c>
      <c r="I31" s="2" t="s">
        <v>25</v>
      </c>
      <c r="J31" s="41">
        <f t="shared" si="3"/>
        <v>4350</v>
      </c>
      <c r="L31" s="19"/>
    </row>
    <row r="32" spans="2:18">
      <c r="B32" s="8" t="s">
        <v>29</v>
      </c>
      <c r="C32" s="2" t="s">
        <v>39</v>
      </c>
      <c r="E32" s="31">
        <v>1</v>
      </c>
      <c r="F32" s="2">
        <v>1</v>
      </c>
      <c r="G32" s="2" t="s">
        <v>1</v>
      </c>
      <c r="H32" s="6">
        <f>Resursi!G15*(F31+F30*E30)</f>
        <v>432.69230769230768</v>
      </c>
      <c r="I32" s="2" t="s">
        <v>27</v>
      </c>
      <c r="J32" s="41">
        <f t="shared" si="3"/>
        <v>432.69230769230768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>
        <v>1</v>
      </c>
      <c r="G34" s="2" t="s">
        <v>1</v>
      </c>
      <c r="H34" s="43">
        <v>10000</v>
      </c>
      <c r="I34" s="2" t="s">
        <v>27</v>
      </c>
      <c r="J34" s="41">
        <f t="shared" si="3"/>
        <v>10000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3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>
        <v>1</v>
      </c>
      <c r="G36" s="2" t="s">
        <v>1</v>
      </c>
      <c r="H36" s="43">
        <v>2200</v>
      </c>
      <c r="I36" s="2" t="s">
        <v>27</v>
      </c>
      <c r="J36" s="41">
        <f t="shared" si="3"/>
        <v>2200</v>
      </c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3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5</v>
      </c>
      <c r="G40" s="2" t="s">
        <v>66</v>
      </c>
      <c r="H40" s="43">
        <v>150</v>
      </c>
      <c r="I40" s="2" t="s">
        <v>70</v>
      </c>
      <c r="J40" s="41">
        <f t="shared" si="3"/>
        <v>750</v>
      </c>
      <c r="L40" s="19" t="s">
        <v>341</v>
      </c>
    </row>
    <row r="41" spans="2:12">
      <c r="B41" s="8" t="s">
        <v>50</v>
      </c>
      <c r="C41" s="2" t="s">
        <v>126</v>
      </c>
      <c r="E41" s="56"/>
      <c r="H41" s="6"/>
      <c r="J41" s="41"/>
      <c r="L41" s="19"/>
    </row>
    <row r="42" spans="2:12">
      <c r="D42" s="57" t="s">
        <v>60</v>
      </c>
      <c r="E42" s="56">
        <v>1</v>
      </c>
      <c r="F42" s="43"/>
      <c r="G42" s="2" t="s">
        <v>62</v>
      </c>
      <c r="H42" s="90"/>
      <c r="I42" s="2" t="s">
        <v>17</v>
      </c>
      <c r="J42" s="41">
        <f t="shared" si="3"/>
        <v>0</v>
      </c>
      <c r="L42" s="19"/>
    </row>
    <row r="43" spans="2:12">
      <c r="D43" s="57" t="s">
        <v>61</v>
      </c>
      <c r="E43" s="56">
        <v>1</v>
      </c>
      <c r="F43" s="43">
        <v>5000</v>
      </c>
      <c r="G43" s="2" t="s">
        <v>62</v>
      </c>
      <c r="H43" s="90">
        <v>1</v>
      </c>
      <c r="I43" s="2" t="s">
        <v>17</v>
      </c>
      <c r="J43" s="41">
        <f t="shared" si="3"/>
        <v>5000</v>
      </c>
      <c r="L43" s="19"/>
    </row>
    <row r="44" spans="2:12" ht="15" thickBot="1">
      <c r="B44" s="2" t="s">
        <v>51</v>
      </c>
      <c r="C44" s="58" t="s">
        <v>155</v>
      </c>
      <c r="D44" s="3"/>
      <c r="E44" s="56">
        <v>1</v>
      </c>
      <c r="F44" s="104">
        <v>1</v>
      </c>
      <c r="G44" s="3" t="s">
        <v>1</v>
      </c>
      <c r="H44" s="43">
        <v>2000</v>
      </c>
      <c r="I44" s="2" t="s">
        <v>27</v>
      </c>
      <c r="J44" s="41">
        <f t="shared" si="3"/>
        <v>2000</v>
      </c>
      <c r="L44" s="19"/>
    </row>
    <row r="45" spans="2:12" ht="15.75" thickBot="1">
      <c r="B45" s="33"/>
      <c r="C45" s="34" t="s">
        <v>67</v>
      </c>
      <c r="D45" s="35"/>
      <c r="E45" s="35"/>
      <c r="F45" s="36"/>
      <c r="G45" s="37"/>
      <c r="H45" s="36"/>
      <c r="I45" s="37"/>
      <c r="J45" s="38">
        <f>SUM(J12:J44)</f>
        <v>69582.692307692312</v>
      </c>
      <c r="L45" s="19"/>
    </row>
    <row r="46" spans="2:12" ht="15.75" thickBot="1">
      <c r="B46" s="61" t="s">
        <v>69</v>
      </c>
      <c r="C46" s="62" t="s">
        <v>68</v>
      </c>
      <c r="D46" s="62"/>
      <c r="E46" s="63"/>
      <c r="F46" s="63"/>
      <c r="G46" s="63"/>
      <c r="H46" s="64"/>
      <c r="I46" s="63"/>
      <c r="J46" s="21">
        <f>J10-J45</f>
        <v>49417.307692307688</v>
      </c>
      <c r="L46" s="19"/>
    </row>
    <row r="47" spans="2:12" ht="16.5" thickTop="1" thickBot="1">
      <c r="B47" s="61" t="s">
        <v>311</v>
      </c>
      <c r="C47" s="62" t="s">
        <v>312</v>
      </c>
      <c r="D47" s="62"/>
      <c r="E47" s="63"/>
      <c r="F47" s="63"/>
      <c r="G47" s="63"/>
      <c r="H47" s="64"/>
      <c r="I47" s="63"/>
      <c r="J47" s="21">
        <f>J10-J45+IF(J9&gt;100,CO224,IF(J9&lt;100,CD224,"0"))</f>
        <v>49684.584722408021</v>
      </c>
      <c r="L47" s="55"/>
    </row>
    <row r="48" spans="2:12" ht="15" thickTop="1"/>
    <row r="49" spans="2:8" ht="15.75" thickBot="1">
      <c r="C49" s="80" t="s">
        <v>122</v>
      </c>
      <c r="D49" s="81"/>
      <c r="E49" s="81"/>
      <c r="F49" s="81"/>
      <c r="G49" s="81"/>
      <c r="H49" s="81"/>
    </row>
    <row r="50" spans="2:8" ht="15" thickBot="1"/>
    <row r="51" spans="2:8" ht="15.75" thickTop="1">
      <c r="C51" s="65" t="s">
        <v>7</v>
      </c>
      <c r="D51" s="66"/>
      <c r="E51" s="66"/>
      <c r="F51" s="67" t="s">
        <v>72</v>
      </c>
    </row>
    <row r="52" spans="2:8">
      <c r="C52" s="45" t="s">
        <v>109</v>
      </c>
      <c r="F52" s="6">
        <f>J8</f>
        <v>119000</v>
      </c>
    </row>
    <row r="53" spans="2:8" ht="15" thickBot="1">
      <c r="C53" s="46" t="s">
        <v>79</v>
      </c>
      <c r="F53" s="6">
        <f>J9</f>
        <v>0</v>
      </c>
    </row>
    <row r="54" spans="2:8" ht="15.75" thickBot="1">
      <c r="B54" s="47"/>
      <c r="C54" s="34" t="s">
        <v>32</v>
      </c>
      <c r="D54" s="35"/>
      <c r="E54" s="35"/>
      <c r="F54" s="48">
        <f>J10</f>
        <v>119000</v>
      </c>
    </row>
    <row r="55" spans="2:8" ht="15">
      <c r="B55" s="47"/>
      <c r="C55" s="22" t="s">
        <v>12</v>
      </c>
      <c r="F55" s="6"/>
    </row>
    <row r="56" spans="2:8">
      <c r="C56" s="46" t="s">
        <v>13</v>
      </c>
      <c r="F56" s="6">
        <f>J12</f>
        <v>10000</v>
      </c>
    </row>
    <row r="57" spans="2:8">
      <c r="C57" s="46" t="s">
        <v>71</v>
      </c>
      <c r="F57" s="6">
        <f>SUM(J14:J21)</f>
        <v>23650</v>
      </c>
    </row>
    <row r="58" spans="2:8">
      <c r="C58" s="46" t="s">
        <v>19</v>
      </c>
      <c r="F58" s="6">
        <f>SUM(J23:J28)</f>
        <v>200</v>
      </c>
    </row>
    <row r="59" spans="2:8">
      <c r="C59" s="46" t="s">
        <v>36</v>
      </c>
      <c r="F59" s="6">
        <f>J30</f>
        <v>0</v>
      </c>
    </row>
    <row r="60" spans="2:8">
      <c r="C60" s="46" t="s">
        <v>38</v>
      </c>
      <c r="F60" s="6">
        <f>J31</f>
        <v>4350</v>
      </c>
    </row>
    <row r="61" spans="2:8">
      <c r="C61" s="46" t="s">
        <v>39</v>
      </c>
      <c r="F61" s="6">
        <f>J32</f>
        <v>432.69230769230768</v>
      </c>
    </row>
    <row r="62" spans="2:8">
      <c r="C62" s="46" t="s">
        <v>42</v>
      </c>
      <c r="F62" s="6">
        <f>SUM(J34:J39)</f>
        <v>23200</v>
      </c>
    </row>
    <row r="63" spans="2:8">
      <c r="C63" s="46" t="s">
        <v>37</v>
      </c>
      <c r="F63" s="6">
        <f>J40</f>
        <v>750</v>
      </c>
    </row>
    <row r="64" spans="2:8">
      <c r="C64" s="46" t="s">
        <v>126</v>
      </c>
      <c r="F64" s="6">
        <f>SUM(J42:J43)</f>
        <v>5000</v>
      </c>
    </row>
    <row r="65" spans="3:6" ht="15" thickBot="1">
      <c r="C65" s="103" t="s">
        <v>155</v>
      </c>
      <c r="F65" s="6">
        <f>J44</f>
        <v>2000</v>
      </c>
    </row>
    <row r="66" spans="3:6" ht="15.75" thickBot="1">
      <c r="C66" s="34" t="s">
        <v>67</v>
      </c>
      <c r="D66" s="35"/>
      <c r="E66" s="35"/>
      <c r="F66" s="48">
        <f>SUM(F56:F65)</f>
        <v>69582.692307692312</v>
      </c>
    </row>
    <row r="67" spans="3:6" ht="15.75" thickBot="1">
      <c r="C67" s="62" t="s">
        <v>30</v>
      </c>
      <c r="D67" s="63"/>
      <c r="E67" s="63"/>
      <c r="F67" s="68">
        <f>F54-F66</f>
        <v>49417.307692307688</v>
      </c>
    </row>
    <row r="68" spans="3:6" ht="15.75" thickTop="1">
      <c r="C68" s="87"/>
      <c r="D68" s="88"/>
      <c r="E68" s="88"/>
      <c r="F68" s="54"/>
    </row>
    <row r="93" spans="4:10" ht="15.75" thickBot="1">
      <c r="D93" s="80" t="s">
        <v>113</v>
      </c>
      <c r="E93" s="81"/>
      <c r="F93" s="81"/>
      <c r="G93" s="81"/>
      <c r="H93" s="81"/>
      <c r="I93" s="81"/>
      <c r="J93" s="81"/>
    </row>
    <row r="95" spans="4:10" ht="15.75" thickBot="1">
      <c r="D95" s="10"/>
      <c r="E95" s="11"/>
      <c r="F95" s="12"/>
      <c r="G95" s="49"/>
      <c r="H95" s="49" t="s">
        <v>106</v>
      </c>
      <c r="I95" s="49"/>
      <c r="J95" s="70"/>
    </row>
    <row r="96" spans="4:10">
      <c r="D96" s="13"/>
      <c r="E96" s="14"/>
      <c r="F96" s="100">
        <v>-0.2</v>
      </c>
      <c r="G96" s="100">
        <v>-0.1</v>
      </c>
      <c r="H96" s="50" t="s">
        <v>75</v>
      </c>
      <c r="I96" s="100">
        <v>0.1</v>
      </c>
      <c r="J96" s="101">
        <v>0.2</v>
      </c>
    </row>
    <row r="97" spans="4:10" ht="15.75" thickBot="1">
      <c r="D97" s="51" t="s">
        <v>74</v>
      </c>
      <c r="E97" s="52"/>
      <c r="F97" s="83">
        <f>H97*(1+F96)</f>
        <v>13.600000000000001</v>
      </c>
      <c r="G97" s="83">
        <f>H97*(1+G96)</f>
        <v>15.3</v>
      </c>
      <c r="H97" s="83">
        <f>H8</f>
        <v>17</v>
      </c>
      <c r="I97" s="84">
        <f>$H$97*(1+I96)</f>
        <v>18.700000000000003</v>
      </c>
      <c r="J97" s="85">
        <f>$H$97*(1+J96)</f>
        <v>20.399999999999999</v>
      </c>
    </row>
    <row r="98" spans="4:10" ht="15">
      <c r="D98" s="98">
        <v>-0.2</v>
      </c>
      <c r="E98" s="53">
        <f>$E$100*(1+D98)</f>
        <v>5600</v>
      </c>
      <c r="F98" s="79">
        <f>$H$98-$E$98*($H$97-F97)</f>
        <v>6844.584722408028</v>
      </c>
      <c r="G98" s="79">
        <f>$H$98-$E$98*($H$97-G97)</f>
        <v>16364.584722408024</v>
      </c>
      <c r="H98" s="79">
        <f>$H$100-($E$100-E98)*$H$97</f>
        <v>25884.584722408021</v>
      </c>
      <c r="I98" s="75">
        <f>$H$98+$E$98*(I97-$H$97)</f>
        <v>35404.584722408035</v>
      </c>
      <c r="J98" s="76">
        <f>$H$98+$E$98*(J97-$H$97)</f>
        <v>44924.584722408013</v>
      </c>
    </row>
    <row r="99" spans="4:10" ht="15">
      <c r="D99" s="98">
        <v>-0.1</v>
      </c>
      <c r="E99" s="53">
        <f>$E$100*(1+D99)</f>
        <v>6300</v>
      </c>
      <c r="F99" s="79">
        <f>$H$99-$E$99*($H$97-F97)</f>
        <v>16364.584722408028</v>
      </c>
      <c r="G99" s="79">
        <f>$H$99-$E$99*($H$97-G97)</f>
        <v>27074.584722408024</v>
      </c>
      <c r="H99" s="79">
        <f>$H$100-($E$100-E99)*$H$97</f>
        <v>37784.584722408021</v>
      </c>
      <c r="I99" s="79">
        <f>$H$99+$E$99*(I97-$H$97)</f>
        <v>48494.584722408035</v>
      </c>
      <c r="J99" s="82">
        <f>$H$99+$E$99*(J97-$H$97)</f>
        <v>59204.584722408013</v>
      </c>
    </row>
    <row r="100" spans="4:10" ht="15">
      <c r="D100" s="16" t="s">
        <v>31</v>
      </c>
      <c r="E100" s="53">
        <f>F8</f>
        <v>7000</v>
      </c>
      <c r="F100" s="79">
        <f>$H$100-$E$100*($H$97-F97)</f>
        <v>25884.584722408032</v>
      </c>
      <c r="G100" s="79">
        <f>$H$100-$E$100*($H$97-G97)</f>
        <v>37784.584722408028</v>
      </c>
      <c r="H100" s="54">
        <f>J47</f>
        <v>49684.584722408021</v>
      </c>
      <c r="I100" s="75">
        <f>$H$100+$E$100*(I97-$H$97)</f>
        <v>61584.584722408043</v>
      </c>
      <c r="J100" s="76">
        <f>$H$100+$E$100*(J97-$H$97)</f>
        <v>73484.584722408006</v>
      </c>
    </row>
    <row r="101" spans="4:10" ht="15">
      <c r="D101" s="98">
        <v>0.1</v>
      </c>
      <c r="E101" s="69">
        <f>$E$100*(1+D101)</f>
        <v>7700.0000000000009</v>
      </c>
      <c r="F101" s="75">
        <f>$H$101-$E$101*($H$97-F97)</f>
        <v>35404.584722408043</v>
      </c>
      <c r="G101" s="75">
        <f>$H$101-$E$101*($H$97-G97)</f>
        <v>48494.584722408035</v>
      </c>
      <c r="H101" s="79">
        <f>$H$100-($E$100-E101)*$H$97</f>
        <v>61584.584722408035</v>
      </c>
      <c r="I101" s="75">
        <f>$H$101+$E$101*(I97-$H$97)</f>
        <v>74674.584722408064</v>
      </c>
      <c r="J101" s="76">
        <f>$H$101+$E$101*(J97-$H$97)</f>
        <v>87764.584722408035</v>
      </c>
    </row>
    <row r="102" spans="4:10" ht="15">
      <c r="D102" s="99">
        <v>0.2</v>
      </c>
      <c r="E102" s="71">
        <f>$E$100*(1+D102)</f>
        <v>8400</v>
      </c>
      <c r="F102" s="77">
        <f>$H$102-$E$102*($H$97-F97)</f>
        <v>44924.584722408035</v>
      </c>
      <c r="G102" s="77">
        <f>$H$102-$E$102*($H$97-G97)</f>
        <v>59204.584722408028</v>
      </c>
      <c r="H102" s="86">
        <f>$H$100-($E$100-E102)*$H$97</f>
        <v>73484.584722408021</v>
      </c>
      <c r="I102" s="77">
        <f>$H$102+$E$102*(I97-$H$97)</f>
        <v>87764.58472240805</v>
      </c>
      <c r="J102" s="78">
        <f>$H$102+$E$102*(J97-$H$97)</f>
        <v>102044.58472240801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15:15:15</v>
      </c>
      <c r="CD206" s="191">
        <f>+F15</f>
        <v>300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45</v>
      </c>
      <c r="CJ206">
        <f t="shared" ref="CJ206:CK212" si="4">$CD206*CG206</f>
        <v>45</v>
      </c>
      <c r="CK206">
        <f t="shared" si="4"/>
        <v>45</v>
      </c>
      <c r="CL206"/>
      <c r="CM206"/>
      <c r="CN206" s="193" t="str">
        <f>D15</f>
        <v>NPK 15:15:15</v>
      </c>
      <c r="CO206" s="191">
        <f>+F15</f>
        <v>300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45</v>
      </c>
      <c r="CU206">
        <f>CO206*CR206</f>
        <v>45</v>
      </c>
      <c r="CV206">
        <f>CO206*CS206</f>
        <v>45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5">+D16</f>
        <v>UREA 46:0:0</v>
      </c>
      <c r="CD207" s="191">
        <f t="shared" ref="CD207:CD212" si="6">+F16</f>
        <v>100</v>
      </c>
      <c r="CE207" t="s">
        <v>16</v>
      </c>
      <c r="CF207" s="192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192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192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46</v>
      </c>
      <c r="CJ207">
        <f t="shared" si="4"/>
        <v>0</v>
      </c>
      <c r="CK207">
        <f t="shared" si="4"/>
        <v>0</v>
      </c>
      <c r="CL207"/>
      <c r="CM207"/>
      <c r="CN207" s="193" t="str">
        <f t="shared" ref="CN207:CN212" si="10">D16</f>
        <v>UREA 46:0:0</v>
      </c>
      <c r="CO207" s="191">
        <f t="shared" ref="CO207:CO212" si="11">+F16</f>
        <v>100</v>
      </c>
      <c r="CP207" t="s">
        <v>16</v>
      </c>
      <c r="CQ207" s="192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192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192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46</v>
      </c>
      <c r="CU207">
        <f t="shared" ref="CU207:CU212" si="16">CO207*CR207</f>
        <v>0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 t="str">
        <f t="shared" si="5"/>
        <v>AN 33,5:0:0</v>
      </c>
      <c r="CD208" s="191">
        <f t="shared" si="6"/>
        <v>75</v>
      </c>
      <c r="CE208" t="s">
        <v>16</v>
      </c>
      <c r="CF208" s="192">
        <f t="shared" si="7"/>
        <v>0.33500000000000002</v>
      </c>
      <c r="CG208" s="192">
        <f t="shared" si="8"/>
        <v>0</v>
      </c>
      <c r="CH208" s="192">
        <f t="shared" si="9"/>
        <v>0</v>
      </c>
      <c r="CI208">
        <f t="shared" ref="CI208:CI212" si="18">$CD208*CF208</f>
        <v>25.125</v>
      </c>
      <c r="CJ208">
        <f t="shared" si="4"/>
        <v>0</v>
      </c>
      <c r="CK208">
        <f t="shared" si="4"/>
        <v>0</v>
      </c>
      <c r="CL208"/>
      <c r="CM208"/>
      <c r="CN208" s="193" t="str">
        <f t="shared" si="10"/>
        <v>AN 33,5:0:0</v>
      </c>
      <c r="CO208" s="191">
        <f t="shared" si="11"/>
        <v>75</v>
      </c>
      <c r="CP208" t="s">
        <v>16</v>
      </c>
      <c r="CQ208" s="192">
        <f t="shared" si="12"/>
        <v>0.33500000000000002</v>
      </c>
      <c r="CR208" s="192">
        <f t="shared" si="13"/>
        <v>0</v>
      </c>
      <c r="CS208" s="192">
        <f t="shared" si="14"/>
        <v>0</v>
      </c>
      <c r="CT208">
        <f t="shared" si="15"/>
        <v>25.125</v>
      </c>
      <c r="CU208">
        <f t="shared" si="16"/>
        <v>0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>
        <f t="shared" si="5"/>
        <v>0</v>
      </c>
      <c r="CD211" s="191">
        <f t="shared" si="6"/>
        <v>0</v>
      </c>
      <c r="CE211" t="s">
        <v>16</v>
      </c>
      <c r="CF211" s="192">
        <f t="shared" ref="CF211:CH212" si="19">+P20</f>
        <v>0</v>
      </c>
      <c r="CG211" s="192">
        <f t="shared" si="19"/>
        <v>0</v>
      </c>
      <c r="CH211" s="192">
        <f t="shared" si="19"/>
        <v>0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93">
        <f t="shared" si="10"/>
        <v>0</v>
      </c>
      <c r="CO211" s="191">
        <f t="shared" si="11"/>
        <v>0</v>
      </c>
      <c r="CP211" t="s">
        <v>16</v>
      </c>
      <c r="CQ211" s="197">
        <f t="shared" ref="CQ211:CS212" si="20">+P20</f>
        <v>0</v>
      </c>
      <c r="CR211" s="197">
        <f t="shared" si="20"/>
        <v>0</v>
      </c>
      <c r="CS211" s="197">
        <f t="shared" si="20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20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26</v>
      </c>
      <c r="CJ213">
        <f>CD213*CG213*1000*IF(CD214=1,50%,IF(CD214=2,30%,IF(CD214=3,20%,IF(CD214&gt;3,0))))</f>
        <v>12</v>
      </c>
      <c r="CK213">
        <f>CD213*CH213*1000*IF(CD214=1,50%,IF(CD214=2,30%,IF(CD214=3,20%,IF(CD214&gt;3,0))))</f>
        <v>24</v>
      </c>
      <c r="CL213"/>
      <c r="CM213"/>
      <c r="CN213" t="s">
        <v>327</v>
      </c>
      <c r="CO213" s="191">
        <f>+F14/1000</f>
        <v>20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26</v>
      </c>
      <c r="CU213">
        <f>CO213*CR213*1000*IF(CO214=1,50%,IF(CO214=2,30%,IF(CO214=3,20%,IF(CO214&gt;3,0))))</f>
        <v>12</v>
      </c>
      <c r="CV213">
        <f>CO213*CS213*1000*IF(CO214=1,50%,IF(CO214=2,30%,IF(CO214=3,20%,IF(CO214&gt;3,0))))</f>
        <v>24</v>
      </c>
    </row>
    <row r="214" spans="81:107">
      <c r="CC214" t="s">
        <v>328</v>
      </c>
      <c r="CD214" s="200">
        <f>+E14</f>
        <v>3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3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142.125</v>
      </c>
      <c r="CJ215">
        <f>SUM(CJ206:CJ214)</f>
        <v>57</v>
      </c>
      <c r="CK215">
        <f>SUM(CK206:CK214)</f>
        <v>69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142.125</v>
      </c>
      <c r="CU215">
        <f>SUM(CU206:CU214)</f>
        <v>57</v>
      </c>
      <c r="CV215">
        <f>SUM(CV206:CV214)</f>
        <v>69</v>
      </c>
    </row>
    <row r="216" spans="81:107">
      <c r="CC216" s="202" t="s">
        <v>342</v>
      </c>
      <c r="CD216" s="203">
        <f>+F8/1000</f>
        <v>7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342</v>
      </c>
      <c r="CO216" s="204">
        <f>+CD216</f>
        <v>7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19.3</v>
      </c>
      <c r="CJ217" s="205">
        <v>9.4</v>
      </c>
      <c r="CK217" s="205">
        <v>6.3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27.5</v>
      </c>
      <c r="CU217" s="205">
        <v>12.5</v>
      </c>
      <c r="CV217" s="205">
        <v>21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135.1</v>
      </c>
      <c r="CJ218">
        <f>CD216*CJ217</f>
        <v>65.8</v>
      </c>
      <c r="CK218">
        <f>CD216*CK217</f>
        <v>44.1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192.5</v>
      </c>
      <c r="CU218">
        <f>CO216*CU217</f>
        <v>87.5</v>
      </c>
      <c r="CV218">
        <f>CO216*CV217</f>
        <v>147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7.0250000000000057</v>
      </c>
      <c r="CJ219" s="209">
        <f>CJ215-CJ218</f>
        <v>-8.7999999999999972</v>
      </c>
      <c r="CK219" s="210">
        <f>CK215-CK218</f>
        <v>24.9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-50.375</v>
      </c>
      <c r="CU219" s="210">
        <f>CU215-CU218</f>
        <v>-30.5</v>
      </c>
      <c r="CV219" s="210">
        <f>CV215-CV218</f>
        <v>-78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35">
        <f>+CI221</f>
        <v>73.91304347826086</v>
      </c>
      <c r="CU221" s="233">
        <f>+CJ221</f>
        <v>90.168896321070235</v>
      </c>
      <c r="CV221" s="233">
        <f>+CK221</f>
        <v>42.600936454849503</v>
      </c>
    </row>
    <row r="222" spans="81:107" ht="15">
      <c r="CC222" s="190" t="s">
        <v>334</v>
      </c>
      <c r="CD222" s="213">
        <f>SUMPRODUCT(CI221:CK221,CI215:CK215)</f>
        <v>18583.983010033444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18583.983010033444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17797.466849498327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28380.376956521741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267.27703010033474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-6073.0243812709032</v>
      </c>
      <c r="CP224"/>
      <c r="CQ224"/>
      <c r="CR224"/>
      <c r="CS224"/>
      <c r="CT224"/>
      <c r="CU224"/>
      <c r="CV224"/>
    </row>
  </sheetData>
  <sheetProtection password="8730" sheet="1" objects="1" scenarios="1"/>
  <protectedRanges>
    <protectedRange sqref="L4:L46" name="Range9"/>
    <protectedRange sqref="F4" name="Range1"/>
    <protectedRange sqref="E8:I9" name="Range2"/>
    <protectedRange sqref="D12:I44" name="Range3"/>
    <protectedRange sqref="P20:R21" name="Range4"/>
    <protectedRange sqref="D98:D99" name="Range5"/>
    <protectedRange sqref="D101:D102" name="Range6"/>
    <protectedRange sqref="F96:G96" name="Range7"/>
    <protectedRange sqref="I96:J96" name="Range8"/>
  </protectedRanges>
  <conditionalFormatting sqref="P5">
    <cfRule type="cellIs" dxfId="34" priority="6" operator="lessThan">
      <formula>0</formula>
    </cfRule>
  </conditionalFormatting>
  <conditionalFormatting sqref="Q5">
    <cfRule type="cellIs" dxfId="33" priority="5" operator="lessThan">
      <formula>0</formula>
    </cfRule>
  </conditionalFormatting>
  <conditionalFormatting sqref="R5">
    <cfRule type="cellIs" dxfId="32" priority="4" operator="lessThan">
      <formula>0</formula>
    </cfRule>
  </conditionalFormatting>
  <conditionalFormatting sqref="P7">
    <cfRule type="cellIs" dxfId="31" priority="3" operator="lessThan">
      <formula>0</formula>
    </cfRule>
  </conditionalFormatting>
  <conditionalFormatting sqref="Q7">
    <cfRule type="cellIs" dxfId="30" priority="2" operator="lessThan">
      <formula>0</formula>
    </cfRule>
  </conditionalFormatting>
  <conditionalFormatting sqref="R7">
    <cfRule type="cellIs" dxfId="29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9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SheetLayoutView="100" workbookViewId="0">
      <selection activeCell="O27" sqref="O27"/>
    </sheetView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7.42578125" style="2" customWidth="1"/>
    <col min="6" max="6" width="12" style="2" customWidth="1"/>
    <col min="7" max="7" width="8.7109375" style="2" bestFit="1" customWidth="1"/>
    <col min="8" max="8" width="10.7109375" style="2" customWidth="1"/>
    <col min="9" max="9" width="8.7109375" style="2" bestFit="1" customWidth="1"/>
    <col min="10" max="10" width="16.28515625" style="2" customWidth="1"/>
    <col min="11" max="11" width="2.42578125" style="2" customWidth="1"/>
    <col min="12" max="12" width="10.5703125" style="1" customWidth="1"/>
    <col min="13" max="14" width="2.28515625" style="2" customWidth="1"/>
    <col min="15" max="15" width="20.7109375" style="2" customWidth="1"/>
    <col min="16" max="18" width="9.140625" style="2"/>
    <col min="19" max="19" width="19.85546875" style="2" customWidth="1"/>
    <col min="20" max="80" width="9.140625" style="2"/>
    <col min="81" max="81" width="19.42578125" style="2" customWidth="1"/>
    <col min="82" max="89" width="9.140625" style="2"/>
    <col min="90" max="91" width="3.5703125" style="2" customWidth="1"/>
    <col min="92" max="92" width="24" style="2" customWidth="1"/>
    <col min="93" max="100" width="9.140625" style="2"/>
    <col min="101" max="103" width="2.28515625" style="2" customWidth="1"/>
    <col min="104" max="104" width="12.5703125" style="2" bestFit="1" customWidth="1"/>
    <col min="105" max="16384" width="9.140625" style="2"/>
  </cols>
  <sheetData>
    <row r="1" spans="2:18" ht="23.25">
      <c r="C1" s="73" t="s">
        <v>347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157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 t="s">
        <v>338</v>
      </c>
      <c r="L4" s="18"/>
      <c r="O4" s="169" t="s">
        <v>298</v>
      </c>
      <c r="P4" s="170">
        <f t="shared" ref="P4:R5" si="0">+CI218</f>
        <v>108.5</v>
      </c>
      <c r="Q4" s="170">
        <f t="shared" si="0"/>
        <v>73.5</v>
      </c>
      <c r="R4" s="170">
        <f t="shared" si="0"/>
        <v>49</v>
      </c>
    </row>
    <row r="5" spans="2:18" ht="15.75" thickBot="1">
      <c r="L5" s="19"/>
      <c r="O5" s="171" t="s">
        <v>299</v>
      </c>
      <c r="P5" s="172">
        <f t="shared" si="0"/>
        <v>1</v>
      </c>
      <c r="Q5" s="172">
        <f t="shared" si="0"/>
        <v>8.5</v>
      </c>
      <c r="R5" s="172">
        <f t="shared" si="0"/>
        <v>11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174" t="str">
        <f t="shared" ref="P6:R7" si="1">IF($J$9&gt;100,CT218,"0")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175" t="str">
        <f t="shared" si="1"/>
        <v>0</v>
      </c>
      <c r="Q7" s="176" t="str">
        <f t="shared" si="1"/>
        <v>0</v>
      </c>
      <c r="R7" s="176" t="str">
        <f t="shared" si="1"/>
        <v>0</v>
      </c>
    </row>
    <row r="8" spans="2:18" ht="15">
      <c r="B8" s="4" t="s">
        <v>8</v>
      </c>
      <c r="C8" s="28" t="s">
        <v>120</v>
      </c>
      <c r="E8" s="29">
        <v>1</v>
      </c>
      <c r="F8" s="74">
        <v>7000</v>
      </c>
      <c r="G8" s="5" t="s">
        <v>16</v>
      </c>
      <c r="H8" s="96">
        <v>17.2</v>
      </c>
      <c r="I8" s="5" t="s">
        <v>17</v>
      </c>
      <c r="J8" s="30">
        <f>E8*F8*H8</f>
        <v>120400</v>
      </c>
      <c r="L8" s="19"/>
    </row>
    <row r="9" spans="2:18" ht="15.75" thickBot="1">
      <c r="B9" s="4" t="s">
        <v>10</v>
      </c>
      <c r="C9" s="22" t="s">
        <v>79</v>
      </c>
      <c r="E9" s="31">
        <v>1</v>
      </c>
      <c r="F9" s="90">
        <v>5</v>
      </c>
      <c r="G9" s="2" t="s">
        <v>2</v>
      </c>
      <c r="H9" s="43"/>
      <c r="I9" s="2" t="s">
        <v>9</v>
      </c>
      <c r="J9" s="32">
        <f>E9*F9*H9</f>
        <v>0</v>
      </c>
      <c r="L9" s="19" t="s">
        <v>339</v>
      </c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120400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93">
        <v>250</v>
      </c>
      <c r="G12" s="3" t="s">
        <v>62</v>
      </c>
      <c r="H12" s="43">
        <v>40</v>
      </c>
      <c r="I12" s="3" t="s">
        <v>15</v>
      </c>
      <c r="J12" s="41">
        <f t="shared" ref="J12" si="2">E12*F12*H12</f>
        <v>10000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302</v>
      </c>
      <c r="E14" s="177">
        <v>1</v>
      </c>
      <c r="F14" s="43">
        <v>20000</v>
      </c>
      <c r="G14" s="2" t="s">
        <v>62</v>
      </c>
      <c r="H14" s="57">
        <v>1.5</v>
      </c>
      <c r="I14" s="2" t="s">
        <v>17</v>
      </c>
      <c r="J14" s="41">
        <f>H14*F14*IF(E14=1,0.5, IF(E14=2,0.3,IF(E14=3,0.2,"0")))</f>
        <v>15000</v>
      </c>
      <c r="L14" s="19" t="s">
        <v>303</v>
      </c>
    </row>
    <row r="15" spans="2:18">
      <c r="C15" s="9"/>
      <c r="D15" s="44" t="s">
        <v>315</v>
      </c>
      <c r="E15" s="56">
        <v>1</v>
      </c>
      <c r="F15" s="43"/>
      <c r="G15" s="2" t="s">
        <v>62</v>
      </c>
      <c r="H15" s="57"/>
      <c r="I15" s="2" t="s">
        <v>17</v>
      </c>
      <c r="J15" s="41">
        <f t="shared" ref="J15:J44" si="3">E15*F15*H15</f>
        <v>0</v>
      </c>
      <c r="L15" s="19"/>
    </row>
    <row r="16" spans="2:18">
      <c r="C16" s="9"/>
      <c r="D16" s="44" t="s">
        <v>324</v>
      </c>
      <c r="E16" s="56">
        <v>1</v>
      </c>
      <c r="F16" s="43">
        <v>100</v>
      </c>
      <c r="G16" s="2" t="s">
        <v>62</v>
      </c>
      <c r="H16" s="57">
        <v>51.5</v>
      </c>
      <c r="I16" s="2" t="s">
        <v>17</v>
      </c>
      <c r="J16" s="41">
        <f t="shared" si="3"/>
        <v>5150</v>
      </c>
      <c r="L16" s="19"/>
    </row>
    <row r="17" spans="2:18">
      <c r="C17" s="9"/>
      <c r="D17" s="44" t="s">
        <v>326</v>
      </c>
      <c r="E17" s="56">
        <v>1</v>
      </c>
      <c r="F17" s="43">
        <v>100</v>
      </c>
      <c r="G17" s="2" t="s">
        <v>62</v>
      </c>
      <c r="H17" s="57">
        <v>31</v>
      </c>
      <c r="I17" s="2" t="s">
        <v>17</v>
      </c>
      <c r="J17" s="41">
        <f t="shared" si="3"/>
        <v>3100</v>
      </c>
      <c r="L17" s="19"/>
    </row>
    <row r="18" spans="2:18">
      <c r="D18" s="44"/>
      <c r="E18" s="56">
        <v>1</v>
      </c>
      <c r="F18" s="43"/>
      <c r="G18" s="2" t="s">
        <v>62</v>
      </c>
      <c r="H18" s="57"/>
      <c r="I18" s="2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/>
      <c r="G19" s="2" t="s">
        <v>62</v>
      </c>
      <c r="H19" s="57"/>
      <c r="I19" s="2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/>
      <c r="E20" s="56">
        <v>1</v>
      </c>
      <c r="F20" s="43"/>
      <c r="G20" s="2" t="s">
        <v>62</v>
      </c>
      <c r="H20" s="57"/>
      <c r="I20" s="2" t="s">
        <v>17</v>
      </c>
      <c r="J20" s="41">
        <f t="shared" si="3"/>
        <v>0</v>
      </c>
      <c r="L20" s="180" t="s">
        <v>308</v>
      </c>
      <c r="P20" s="181">
        <v>0</v>
      </c>
      <c r="Q20" s="181">
        <v>0</v>
      </c>
      <c r="R20" s="181">
        <v>0</v>
      </c>
    </row>
    <row r="21" spans="2:18">
      <c r="D21" s="179"/>
      <c r="E21" s="56">
        <v>1</v>
      </c>
      <c r="F21" s="43"/>
      <c r="G21" s="2" t="s">
        <v>62</v>
      </c>
      <c r="H21" s="57"/>
      <c r="I21" s="2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343</v>
      </c>
      <c r="E23" s="56">
        <v>1</v>
      </c>
      <c r="F23" s="57">
        <v>10</v>
      </c>
      <c r="G23" s="2" t="s">
        <v>80</v>
      </c>
      <c r="H23" s="90">
        <v>22</v>
      </c>
      <c r="I23" s="2" t="s">
        <v>98</v>
      </c>
      <c r="J23" s="41">
        <f t="shared" si="3"/>
        <v>220</v>
      </c>
      <c r="L23" s="19"/>
    </row>
    <row r="24" spans="2:18">
      <c r="D24" s="44" t="s">
        <v>344</v>
      </c>
      <c r="E24" s="56">
        <v>1</v>
      </c>
      <c r="F24" s="57">
        <v>1</v>
      </c>
      <c r="G24" s="2" t="s">
        <v>59</v>
      </c>
      <c r="H24" s="43">
        <v>3200</v>
      </c>
      <c r="I24" s="2" t="s">
        <v>25</v>
      </c>
      <c r="J24" s="41">
        <f t="shared" si="3"/>
        <v>3200</v>
      </c>
      <c r="L24" s="19"/>
    </row>
    <row r="25" spans="2:18">
      <c r="D25" s="44" t="s">
        <v>345</v>
      </c>
      <c r="E25" s="56">
        <v>1</v>
      </c>
      <c r="F25" s="57">
        <v>0.2</v>
      </c>
      <c r="G25" s="2" t="s">
        <v>59</v>
      </c>
      <c r="H25" s="43">
        <v>4850</v>
      </c>
      <c r="I25" s="2" t="s">
        <v>25</v>
      </c>
      <c r="J25" s="41">
        <f t="shared" si="3"/>
        <v>970</v>
      </c>
      <c r="L25" s="19"/>
    </row>
    <row r="26" spans="2:18">
      <c r="D26" s="44" t="s">
        <v>21</v>
      </c>
      <c r="E26" s="56">
        <v>1</v>
      </c>
      <c r="F26" s="57"/>
      <c r="H26" s="43"/>
      <c r="J26" s="41">
        <f t="shared" si="3"/>
        <v>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3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3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1</v>
      </c>
      <c r="F30" s="57"/>
      <c r="G30" s="2" t="s">
        <v>59</v>
      </c>
      <c r="H30" s="43"/>
      <c r="I30" s="2" t="s">
        <v>25</v>
      </c>
      <c r="J30" s="41">
        <f t="shared" si="3"/>
        <v>0</v>
      </c>
      <c r="L30" s="19"/>
    </row>
    <row r="31" spans="2:18">
      <c r="B31" s="8" t="s">
        <v>26</v>
      </c>
      <c r="C31" s="2" t="s">
        <v>38</v>
      </c>
      <c r="E31" s="31">
        <v>1</v>
      </c>
      <c r="F31" s="57">
        <v>70</v>
      </c>
      <c r="G31" s="2" t="s">
        <v>59</v>
      </c>
      <c r="H31" s="43">
        <f>+Resursi!G30</f>
        <v>145</v>
      </c>
      <c r="I31" s="2" t="s">
        <v>25</v>
      </c>
      <c r="J31" s="41">
        <f t="shared" si="3"/>
        <v>10150</v>
      </c>
      <c r="L31" s="19"/>
    </row>
    <row r="32" spans="2:18">
      <c r="B32" s="8" t="s">
        <v>29</v>
      </c>
      <c r="C32" s="2" t="s">
        <v>39</v>
      </c>
      <c r="E32" s="31">
        <v>1</v>
      </c>
      <c r="F32" s="2">
        <v>1</v>
      </c>
      <c r="G32" s="2" t="s">
        <v>1</v>
      </c>
      <c r="H32" s="6">
        <f>Resursi!G15*(F31+F30*E30)</f>
        <v>1009.6153846153846</v>
      </c>
      <c r="I32" s="2" t="s">
        <v>27</v>
      </c>
      <c r="J32" s="41">
        <f t="shared" si="3"/>
        <v>1009.6153846153846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/>
      <c r="G34" s="2" t="s">
        <v>1</v>
      </c>
      <c r="H34" s="43"/>
      <c r="I34" s="2" t="s">
        <v>27</v>
      </c>
      <c r="J34" s="41">
        <f t="shared" si="3"/>
        <v>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3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>
        <v>1</v>
      </c>
      <c r="G36" s="2" t="s">
        <v>1</v>
      </c>
      <c r="H36" s="43">
        <v>2200</v>
      </c>
      <c r="I36" s="2" t="s">
        <v>27</v>
      </c>
      <c r="J36" s="41">
        <f t="shared" si="3"/>
        <v>2200</v>
      </c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3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5</v>
      </c>
      <c r="G40" s="2" t="s">
        <v>66</v>
      </c>
      <c r="H40" s="43">
        <v>150</v>
      </c>
      <c r="I40" s="2" t="s">
        <v>70</v>
      </c>
      <c r="J40" s="41">
        <f t="shared" si="3"/>
        <v>750</v>
      </c>
      <c r="L40" s="19" t="s">
        <v>341</v>
      </c>
    </row>
    <row r="41" spans="2:12">
      <c r="B41" s="8" t="s">
        <v>50</v>
      </c>
      <c r="C41" s="2" t="s">
        <v>126</v>
      </c>
      <c r="E41" s="56"/>
      <c r="H41" s="6"/>
      <c r="J41" s="41"/>
      <c r="L41" s="19"/>
    </row>
    <row r="42" spans="2:12">
      <c r="D42" s="57" t="s">
        <v>60</v>
      </c>
      <c r="E42" s="56">
        <v>1</v>
      </c>
      <c r="F42" s="43"/>
      <c r="G42" s="2" t="s">
        <v>62</v>
      </c>
      <c r="H42" s="90"/>
      <c r="I42" s="2" t="s">
        <v>17</v>
      </c>
      <c r="J42" s="41">
        <f t="shared" si="3"/>
        <v>0</v>
      </c>
      <c r="L42" s="19"/>
    </row>
    <row r="43" spans="2:12">
      <c r="D43" s="57" t="s">
        <v>61</v>
      </c>
      <c r="E43" s="56">
        <v>1</v>
      </c>
      <c r="F43" s="43">
        <v>5000</v>
      </c>
      <c r="G43" s="2" t="s">
        <v>62</v>
      </c>
      <c r="H43" s="90">
        <v>0.3</v>
      </c>
      <c r="I43" s="2" t="s">
        <v>17</v>
      </c>
      <c r="J43" s="41">
        <f t="shared" si="3"/>
        <v>1500</v>
      </c>
      <c r="L43" s="19"/>
    </row>
    <row r="44" spans="2:12" ht="15" thickBot="1">
      <c r="B44" s="2" t="s">
        <v>51</v>
      </c>
      <c r="C44" s="58" t="s">
        <v>155</v>
      </c>
      <c r="D44" s="3"/>
      <c r="E44" s="56">
        <v>1</v>
      </c>
      <c r="F44" s="104">
        <v>1</v>
      </c>
      <c r="G44" s="3" t="s">
        <v>1</v>
      </c>
      <c r="H44" s="43">
        <v>1700</v>
      </c>
      <c r="I44" s="2" t="s">
        <v>27</v>
      </c>
      <c r="J44" s="41">
        <f t="shared" si="3"/>
        <v>1700</v>
      </c>
      <c r="L44" s="19"/>
    </row>
    <row r="45" spans="2:12" ht="15.75" thickBot="1">
      <c r="B45" s="33"/>
      <c r="C45" s="34" t="s">
        <v>67</v>
      </c>
      <c r="D45" s="35"/>
      <c r="E45" s="35"/>
      <c r="F45" s="36"/>
      <c r="G45" s="37"/>
      <c r="H45" s="36"/>
      <c r="I45" s="37"/>
      <c r="J45" s="38">
        <f>SUM(J12:J44)</f>
        <v>65949.615384615376</v>
      </c>
      <c r="L45" s="19"/>
    </row>
    <row r="46" spans="2:12" ht="15.75" thickBot="1">
      <c r="B46" s="61" t="s">
        <v>69</v>
      </c>
      <c r="C46" s="62" t="s">
        <v>68</v>
      </c>
      <c r="D46" s="62"/>
      <c r="E46" s="63"/>
      <c r="F46" s="63"/>
      <c r="G46" s="63"/>
      <c r="H46" s="64"/>
      <c r="I46" s="63"/>
      <c r="J46" s="21">
        <f>J10-J45</f>
        <v>54450.384615384624</v>
      </c>
      <c r="L46" s="19"/>
    </row>
    <row r="47" spans="2:12" ht="16.5" thickTop="1" thickBot="1">
      <c r="B47" s="61" t="s">
        <v>311</v>
      </c>
      <c r="C47" s="62" t="s">
        <v>312</v>
      </c>
      <c r="D47" s="62"/>
      <c r="E47" s="63"/>
      <c r="F47" s="63"/>
      <c r="G47" s="63"/>
      <c r="H47" s="64"/>
      <c r="I47" s="63"/>
      <c r="J47" s="21">
        <f>J10-J45+IF(J9&gt;100,CO224,IF(J9&lt;100,CD224,"0"))</f>
        <v>55685.430535117062</v>
      </c>
      <c r="L47" s="55"/>
    </row>
    <row r="48" spans="2:12" ht="15" thickTop="1"/>
    <row r="49" spans="2:8" ht="15.75" thickBot="1">
      <c r="C49" s="80" t="s">
        <v>160</v>
      </c>
      <c r="D49" s="81"/>
      <c r="E49" s="81"/>
      <c r="F49" s="81"/>
      <c r="G49" s="81"/>
      <c r="H49" s="81"/>
    </row>
    <row r="50" spans="2:8" ht="15" thickBot="1"/>
    <row r="51" spans="2:8" ht="15.75" thickTop="1">
      <c r="C51" s="65" t="s">
        <v>7</v>
      </c>
      <c r="D51" s="66"/>
      <c r="E51" s="66"/>
      <c r="F51" s="67" t="s">
        <v>72</v>
      </c>
    </row>
    <row r="52" spans="2:8">
      <c r="C52" s="45" t="s">
        <v>109</v>
      </c>
      <c r="F52" s="6">
        <f>J8</f>
        <v>120400</v>
      </c>
    </row>
    <row r="53" spans="2:8" ht="15" thickBot="1">
      <c r="C53" s="46" t="s">
        <v>79</v>
      </c>
      <c r="F53" s="6">
        <f>J9</f>
        <v>0</v>
      </c>
    </row>
    <row r="54" spans="2:8" ht="15.75" thickBot="1">
      <c r="B54" s="47"/>
      <c r="C54" s="34" t="s">
        <v>32</v>
      </c>
      <c r="D54" s="35"/>
      <c r="E54" s="35"/>
      <c r="F54" s="48">
        <f>J10</f>
        <v>120400</v>
      </c>
    </row>
    <row r="55" spans="2:8" ht="15">
      <c r="B55" s="47"/>
      <c r="C55" s="22" t="s">
        <v>12</v>
      </c>
      <c r="F55" s="6"/>
    </row>
    <row r="56" spans="2:8">
      <c r="C56" s="46" t="s">
        <v>13</v>
      </c>
      <c r="F56" s="6">
        <f>J12</f>
        <v>10000</v>
      </c>
    </row>
    <row r="57" spans="2:8">
      <c r="C57" s="46" t="s">
        <v>71</v>
      </c>
      <c r="F57" s="6">
        <f>SUM(J14:J21)</f>
        <v>23250</v>
      </c>
    </row>
    <row r="58" spans="2:8">
      <c r="C58" s="46" t="s">
        <v>19</v>
      </c>
      <c r="F58" s="6">
        <f>SUM(J23:J28)</f>
        <v>4390</v>
      </c>
    </row>
    <row r="59" spans="2:8">
      <c r="C59" s="46" t="s">
        <v>36</v>
      </c>
      <c r="F59" s="6">
        <f>J30</f>
        <v>0</v>
      </c>
    </row>
    <row r="60" spans="2:8">
      <c r="C60" s="46" t="s">
        <v>38</v>
      </c>
      <c r="F60" s="6">
        <f>J31</f>
        <v>10150</v>
      </c>
    </row>
    <row r="61" spans="2:8">
      <c r="C61" s="46" t="s">
        <v>39</v>
      </c>
      <c r="F61" s="6">
        <f>J32</f>
        <v>1009.6153846153846</v>
      </c>
    </row>
    <row r="62" spans="2:8">
      <c r="C62" s="46" t="s">
        <v>42</v>
      </c>
      <c r="F62" s="6">
        <f>SUM(J34:J39)</f>
        <v>13200</v>
      </c>
    </row>
    <row r="63" spans="2:8">
      <c r="C63" s="46" t="s">
        <v>37</v>
      </c>
      <c r="F63" s="6">
        <f>J40</f>
        <v>750</v>
      </c>
    </row>
    <row r="64" spans="2:8">
      <c r="C64" s="46" t="s">
        <v>126</v>
      </c>
      <c r="F64" s="6">
        <f>SUM(J42:J43)</f>
        <v>1500</v>
      </c>
    </row>
    <row r="65" spans="3:6" ht="15" thickBot="1">
      <c r="C65" s="103" t="s">
        <v>155</v>
      </c>
      <c r="F65" s="6">
        <f>J44</f>
        <v>1700</v>
      </c>
    </row>
    <row r="66" spans="3:6" ht="15.75" thickBot="1">
      <c r="C66" s="34" t="s">
        <v>67</v>
      </c>
      <c r="D66" s="35"/>
      <c r="E66" s="35"/>
      <c r="F66" s="48">
        <f>SUM(F56:F65)</f>
        <v>65949.615384615376</v>
      </c>
    </row>
    <row r="67" spans="3:6" ht="15.75" thickBot="1">
      <c r="C67" s="62" t="s">
        <v>30</v>
      </c>
      <c r="D67" s="63"/>
      <c r="E67" s="63"/>
      <c r="F67" s="68">
        <f>F54-F66</f>
        <v>54450.384615384624</v>
      </c>
    </row>
    <row r="68" spans="3:6" ht="15.75" thickTop="1">
      <c r="C68" s="87"/>
      <c r="D68" s="88"/>
      <c r="E68" s="88"/>
      <c r="F68" s="54"/>
    </row>
    <row r="93" spans="4:10" ht="15.75" thickBot="1">
      <c r="D93" s="80" t="s">
        <v>161</v>
      </c>
      <c r="E93" s="81"/>
      <c r="F93" s="81"/>
      <c r="G93" s="81"/>
      <c r="H93" s="81"/>
      <c r="I93" s="81"/>
      <c r="J93" s="81"/>
    </row>
    <row r="95" spans="4:10" ht="15.75" thickBot="1">
      <c r="D95" s="10"/>
      <c r="E95" s="11"/>
      <c r="F95" s="12"/>
      <c r="G95" s="49"/>
      <c r="H95" s="49" t="s">
        <v>106</v>
      </c>
      <c r="I95" s="49"/>
      <c r="J95" s="70"/>
    </row>
    <row r="96" spans="4:10">
      <c r="D96" s="13"/>
      <c r="E96" s="14"/>
      <c r="F96" s="100">
        <v>-0.2</v>
      </c>
      <c r="G96" s="100">
        <v>-0.1</v>
      </c>
      <c r="H96" s="50" t="s">
        <v>75</v>
      </c>
      <c r="I96" s="100">
        <v>0.1</v>
      </c>
      <c r="J96" s="101">
        <v>0.2</v>
      </c>
    </row>
    <row r="97" spans="4:10" ht="15.75" thickBot="1">
      <c r="D97" s="51" t="s">
        <v>74</v>
      </c>
      <c r="E97" s="52"/>
      <c r="F97" s="83">
        <f>H97*(1+F96)</f>
        <v>13.76</v>
      </c>
      <c r="G97" s="83">
        <f>H97*(1+G96)</f>
        <v>15.48</v>
      </c>
      <c r="H97" s="83">
        <f>H8</f>
        <v>17.2</v>
      </c>
      <c r="I97" s="84">
        <f>$H$97*(1+I96)</f>
        <v>18.920000000000002</v>
      </c>
      <c r="J97" s="85">
        <f>$H$97*(1+J96)</f>
        <v>20.639999999999997</v>
      </c>
    </row>
    <row r="98" spans="4:10" ht="15">
      <c r="D98" s="98">
        <v>-0.2</v>
      </c>
      <c r="E98" s="53">
        <f>$E$100*(1+D98)</f>
        <v>5600</v>
      </c>
      <c r="F98" s="79">
        <f>$H$98-$E$98*($H$97-F97)</f>
        <v>12341.430535117066</v>
      </c>
      <c r="G98" s="79">
        <f>$H$98-$E$98*($H$97-G97)</f>
        <v>21973.43053511707</v>
      </c>
      <c r="H98" s="79">
        <f>$H$100-($E$100-E98)*$H$97</f>
        <v>31605.430535117062</v>
      </c>
      <c r="I98" s="75">
        <f>$H$98+$E$98*(I97-$H$97)</f>
        <v>41237.430535117077</v>
      </c>
      <c r="J98" s="76">
        <f>$H$98+$E$98*(J97-$H$97)</f>
        <v>50869.430535117048</v>
      </c>
    </row>
    <row r="99" spans="4:10" ht="15">
      <c r="D99" s="98">
        <v>-0.1</v>
      </c>
      <c r="E99" s="53">
        <f>$E$100*(1+D99)</f>
        <v>6300</v>
      </c>
      <c r="F99" s="79">
        <f>$H$99-$E$99*($H$97-F97)</f>
        <v>21973.430535117066</v>
      </c>
      <c r="G99" s="79">
        <f>$H$99-$E$99*($H$97-G97)</f>
        <v>32809.43053511707</v>
      </c>
      <c r="H99" s="79">
        <f>$H$100-($E$100-E99)*$H$97</f>
        <v>43645.430535117062</v>
      </c>
      <c r="I99" s="79">
        <f>$H$99+$E$99*(I97-$H$97)</f>
        <v>54481.430535117077</v>
      </c>
      <c r="J99" s="82">
        <f>$H$99+$E$99*(J97-$H$97)</f>
        <v>65317.430535117048</v>
      </c>
    </row>
    <row r="100" spans="4:10" ht="15">
      <c r="D100" s="16" t="s">
        <v>31</v>
      </c>
      <c r="E100" s="53">
        <f>F8</f>
        <v>7000</v>
      </c>
      <c r="F100" s="79">
        <f>$H$100-$E$100*($H$97-F97)</f>
        <v>31605.430535117066</v>
      </c>
      <c r="G100" s="79">
        <f>$H$100-$E$100*($H$97-G97)</f>
        <v>43645.43053511707</v>
      </c>
      <c r="H100" s="54">
        <f>J47</f>
        <v>55685.430535117062</v>
      </c>
      <c r="I100" s="75">
        <f>$H$100+$E$100*(I97-$H$97)</f>
        <v>67725.430535117077</v>
      </c>
      <c r="J100" s="76">
        <f>$H$100+$E$100*(J97-$H$97)</f>
        <v>79765.430535117048</v>
      </c>
    </row>
    <row r="101" spans="4:10" ht="15">
      <c r="D101" s="98">
        <v>0.1</v>
      </c>
      <c r="E101" s="69">
        <f>$E$100*(1+D101)</f>
        <v>7700.0000000000009</v>
      </c>
      <c r="F101" s="75">
        <f>$H$101-$E$101*($H$97-F97)</f>
        <v>41237.430535117077</v>
      </c>
      <c r="G101" s="75">
        <f>$H$101-$E$101*($H$97-G97)</f>
        <v>54481.430535117084</v>
      </c>
      <c r="H101" s="79">
        <f>$H$100-($E$100-E101)*$H$97</f>
        <v>67725.430535117077</v>
      </c>
      <c r="I101" s="75">
        <f>$H$101+$E$101*(I97-$H$97)</f>
        <v>80969.430535117091</v>
      </c>
      <c r="J101" s="76">
        <f>$H$101+$E$101*(J97-$H$97)</f>
        <v>94213.430535117062</v>
      </c>
    </row>
    <row r="102" spans="4:10" ht="15">
      <c r="D102" s="99">
        <v>0.2</v>
      </c>
      <c r="E102" s="71">
        <f>$E$100*(1+D102)</f>
        <v>8400</v>
      </c>
      <c r="F102" s="77">
        <f>$H$102-$E$102*($H$97-F97)</f>
        <v>50869.430535117062</v>
      </c>
      <c r="G102" s="77">
        <f>$H$102-$E$102*($H$97-G97)</f>
        <v>65317.43053511707</v>
      </c>
      <c r="H102" s="86">
        <f>$H$100-($E$100-E102)*$H$97</f>
        <v>79765.430535117062</v>
      </c>
      <c r="I102" s="77">
        <f>$H$102+$E$102*(I97-$H$97)</f>
        <v>94213.430535117077</v>
      </c>
      <c r="J102" s="78">
        <f>$H$102+$E$102*(J97-$H$97)</f>
        <v>108661.43053511705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15:15:15</v>
      </c>
      <c r="CD206" s="191">
        <f>+F15</f>
        <v>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0</v>
      </c>
      <c r="CJ206">
        <f t="shared" ref="CJ206:CK212" si="4">$CD206*CG206</f>
        <v>0</v>
      </c>
      <c r="CK206">
        <f t="shared" si="4"/>
        <v>0</v>
      </c>
      <c r="CL206"/>
      <c r="CM206"/>
      <c r="CN206" s="193" t="str">
        <f>D15</f>
        <v>NPK 15:15:15</v>
      </c>
      <c r="CO206" s="191">
        <f>+F15</f>
        <v>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0</v>
      </c>
      <c r="CU206">
        <f>CO206*CR206</f>
        <v>0</v>
      </c>
      <c r="CV206">
        <f>CO206*CS206</f>
        <v>0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5">+D16</f>
        <v>MAP 11:52:0</v>
      </c>
      <c r="CD207" s="191">
        <f t="shared" ref="CD207:CD212" si="6">+F16</f>
        <v>100</v>
      </c>
      <c r="CE207" t="s">
        <v>16</v>
      </c>
      <c r="CF207" s="192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0.11</v>
      </c>
      <c r="CG207" s="192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192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11</v>
      </c>
      <c r="CJ207">
        <f t="shared" si="4"/>
        <v>52</v>
      </c>
      <c r="CK207">
        <f t="shared" si="4"/>
        <v>0</v>
      </c>
      <c r="CL207"/>
      <c r="CM207"/>
      <c r="CN207" s="193" t="str">
        <f t="shared" ref="CN207:CN212" si="10">D16</f>
        <v>MAP 11:52:0</v>
      </c>
      <c r="CO207" s="191">
        <f t="shared" ref="CO207:CO212" si="11">+F16</f>
        <v>100</v>
      </c>
      <c r="CP207" t="s">
        <v>16</v>
      </c>
      <c r="CQ207" s="192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0.11</v>
      </c>
      <c r="CR207" s="192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192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11</v>
      </c>
      <c r="CU207">
        <f t="shared" ref="CU207:CU212" si="16">CO207*CR207</f>
        <v>52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 t="str">
        <f t="shared" si="5"/>
        <v>AN 33,5:0:0</v>
      </c>
      <c r="CD208" s="191">
        <f t="shared" si="6"/>
        <v>100</v>
      </c>
      <c r="CE208" t="s">
        <v>16</v>
      </c>
      <c r="CF208" s="192">
        <f t="shared" si="7"/>
        <v>0.33500000000000002</v>
      </c>
      <c r="CG208" s="192">
        <f t="shared" si="8"/>
        <v>0</v>
      </c>
      <c r="CH208" s="192">
        <f t="shared" si="9"/>
        <v>0</v>
      </c>
      <c r="CI208">
        <f t="shared" ref="CI208:CI212" si="18">$CD208*CF208</f>
        <v>33.5</v>
      </c>
      <c r="CJ208">
        <f t="shared" si="4"/>
        <v>0</v>
      </c>
      <c r="CK208">
        <f t="shared" si="4"/>
        <v>0</v>
      </c>
      <c r="CL208"/>
      <c r="CM208"/>
      <c r="CN208" s="193" t="str">
        <f t="shared" si="10"/>
        <v>AN 33,5:0:0</v>
      </c>
      <c r="CO208" s="191">
        <f t="shared" si="11"/>
        <v>100</v>
      </c>
      <c r="CP208" t="s">
        <v>16</v>
      </c>
      <c r="CQ208" s="192">
        <f t="shared" si="12"/>
        <v>0.33500000000000002</v>
      </c>
      <c r="CR208" s="192">
        <f t="shared" si="13"/>
        <v>0</v>
      </c>
      <c r="CS208" s="192">
        <f t="shared" si="14"/>
        <v>0</v>
      </c>
      <c r="CT208">
        <f t="shared" si="15"/>
        <v>33.5</v>
      </c>
      <c r="CU208">
        <f t="shared" si="16"/>
        <v>0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>
        <f t="shared" si="5"/>
        <v>0</v>
      </c>
      <c r="CD211" s="191">
        <f t="shared" si="6"/>
        <v>0</v>
      </c>
      <c r="CE211" t="s">
        <v>16</v>
      </c>
      <c r="CF211" s="192">
        <f t="shared" ref="CF211:CH212" si="19">+P20</f>
        <v>0</v>
      </c>
      <c r="CG211" s="192">
        <f t="shared" si="19"/>
        <v>0</v>
      </c>
      <c r="CH211" s="192">
        <f t="shared" si="19"/>
        <v>0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93">
        <f t="shared" si="10"/>
        <v>0</v>
      </c>
      <c r="CO211" s="191">
        <f t="shared" si="11"/>
        <v>0</v>
      </c>
      <c r="CP211" t="s">
        <v>16</v>
      </c>
      <c r="CQ211" s="197">
        <f t="shared" ref="CQ211:CS212" si="20">+P20</f>
        <v>0</v>
      </c>
      <c r="CR211" s="197">
        <f t="shared" si="20"/>
        <v>0</v>
      </c>
      <c r="CS211" s="197">
        <f t="shared" si="20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20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65</v>
      </c>
      <c r="CJ213">
        <f>CD213*CG213*1000*IF(CD214=1,50%,IF(CD214=2,30%,IF(CD214=3,20%,IF(CD214&gt;3,0))))</f>
        <v>30</v>
      </c>
      <c r="CK213">
        <f>CD213*CH213*1000*IF(CD214=1,50%,IF(CD214=2,30%,IF(CD214=3,20%,IF(CD214&gt;3,0))))</f>
        <v>60</v>
      </c>
      <c r="CL213"/>
      <c r="CM213"/>
      <c r="CN213" t="s">
        <v>327</v>
      </c>
      <c r="CO213" s="191">
        <f>+F14/1000</f>
        <v>20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65</v>
      </c>
      <c r="CU213">
        <f>CO213*CR213*1000*IF(CO214=1,50%,IF(CO214=2,30%,IF(CO214=3,20%,IF(CO214&gt;3,0))))</f>
        <v>30</v>
      </c>
      <c r="CV213">
        <f>CO213*CS213*1000*IF(CO214=1,50%,IF(CO214=2,30%,IF(CO214=3,20%,IF(CO214&gt;3,0))))</f>
        <v>60</v>
      </c>
    </row>
    <row r="214" spans="81:107">
      <c r="CC214" t="s">
        <v>328</v>
      </c>
      <c r="CD214" s="200">
        <f>+E14</f>
        <v>1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1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109.5</v>
      </c>
      <c r="CJ215">
        <f>SUM(CJ206:CJ214)</f>
        <v>82</v>
      </c>
      <c r="CK215">
        <f>SUM(CK206:CK214)</f>
        <v>60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109.5</v>
      </c>
      <c r="CU215">
        <f>SUM(CU206:CU214)</f>
        <v>82</v>
      </c>
      <c r="CV215">
        <f>SUM(CV206:CV214)</f>
        <v>60</v>
      </c>
    </row>
    <row r="216" spans="81:107">
      <c r="CC216" s="202" t="s">
        <v>346</v>
      </c>
      <c r="CD216" s="203">
        <f>+F8/1000</f>
        <v>7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346</v>
      </c>
      <c r="CO216" s="204">
        <f>+CD216</f>
        <v>7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15.5</v>
      </c>
      <c r="CJ217" s="205">
        <v>10.5</v>
      </c>
      <c r="CK217" s="205">
        <v>7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22</v>
      </c>
      <c r="CU217" s="205">
        <v>14</v>
      </c>
      <c r="CV217" s="205">
        <v>23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108.5</v>
      </c>
      <c r="CJ218">
        <f>CD216*CJ217</f>
        <v>73.5</v>
      </c>
      <c r="CK218">
        <f>CD216*CK217</f>
        <v>49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154</v>
      </c>
      <c r="CU218">
        <f>CO216*CU217</f>
        <v>98</v>
      </c>
      <c r="CV218">
        <f>CO216*CV217</f>
        <v>161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1</v>
      </c>
      <c r="CJ219" s="209">
        <f>CJ215-CJ218</f>
        <v>8.5</v>
      </c>
      <c r="CK219" s="210">
        <f>CK215-CK218</f>
        <v>11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-44.5</v>
      </c>
      <c r="CU219" s="210">
        <f>CU215-CU218</f>
        <v>-16</v>
      </c>
      <c r="CV219" s="210">
        <f>CV215-CV218</f>
        <v>-101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12">
        <f>+CI221</f>
        <v>73.91304347826086</v>
      </c>
      <c r="CU221" s="212">
        <f t="shared" ref="CU221:CV221" si="21">+CJ221</f>
        <v>90.168896321070235</v>
      </c>
      <c r="CV221" s="212">
        <f t="shared" si="21"/>
        <v>42.600936454849503</v>
      </c>
    </row>
    <row r="222" spans="81:107" ht="15">
      <c r="CC222" s="190" t="s">
        <v>334</v>
      </c>
      <c r="CD222" s="213">
        <f>SUMPRODUCT(CI221:CK221,CI215:CK215)</f>
        <v>18043.383946488295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18043.383946488295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16734.424983277593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27077.911304347825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1235.0459197324415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-5745.3969230769235</v>
      </c>
      <c r="CP224"/>
      <c r="CQ224"/>
      <c r="CR224"/>
      <c r="CS224"/>
      <c r="CT224"/>
      <c r="CU224"/>
      <c r="CV224"/>
    </row>
  </sheetData>
  <sheetProtection password="8730" sheet="1" objects="1" scenarios="1"/>
  <protectedRanges>
    <protectedRange sqref="D101:D102" name="Range7_1"/>
    <protectedRange sqref="D98:D99" name="Range6_1"/>
    <protectedRange sqref="I96:J96" name="Range5_1"/>
    <protectedRange sqref="F96:G96" name="Range4_1"/>
    <protectedRange sqref="D12:I44" name="Range3_1"/>
    <protectedRange sqref="F8:I9" name="Range2_1"/>
    <protectedRange sqref="F4" name="Range1_1"/>
    <protectedRange sqref="L4:L46" name="Range4_2"/>
    <protectedRange sqref="P20:R21" name="Range9"/>
  </protectedRanges>
  <conditionalFormatting sqref="P5">
    <cfRule type="cellIs" dxfId="28" priority="5" operator="lessThan">
      <formula>0</formula>
    </cfRule>
  </conditionalFormatting>
  <conditionalFormatting sqref="Q5">
    <cfRule type="cellIs" dxfId="27" priority="4" operator="lessThan">
      <formula>0</formula>
    </cfRule>
  </conditionalFormatting>
  <conditionalFormatting sqref="R5">
    <cfRule type="cellIs" dxfId="26" priority="3" operator="lessThan">
      <formula>0</formula>
    </cfRule>
  </conditionalFormatting>
  <conditionalFormatting sqref="P7">
    <cfRule type="cellIs" dxfId="25" priority="2" operator="lessThan">
      <formula>0</formula>
    </cfRule>
  </conditionalFormatting>
  <conditionalFormatting sqref="Q7">
    <cfRule type="cellIs" dxfId="24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6"/>
  <sheetViews>
    <sheetView zoomScaleSheetLayoutView="100" workbookViewId="0"/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6.7109375" style="2" customWidth="1"/>
    <col min="6" max="6" width="12" style="2" customWidth="1"/>
    <col min="7" max="7" width="8.85546875" style="2" customWidth="1"/>
    <col min="8" max="8" width="10.7109375" style="2" customWidth="1"/>
    <col min="9" max="9" width="10.42578125" style="2" customWidth="1"/>
    <col min="10" max="10" width="15" style="2" customWidth="1"/>
    <col min="11" max="11" width="2.42578125" style="2" customWidth="1"/>
    <col min="12" max="12" width="10.5703125" style="1" customWidth="1"/>
    <col min="13" max="14" width="2.28515625" style="2" customWidth="1"/>
    <col min="15" max="15" width="20.7109375" style="2" customWidth="1"/>
    <col min="16" max="18" width="9.140625" style="2"/>
    <col min="19" max="19" width="20.7109375" style="2" customWidth="1"/>
    <col min="20" max="80" width="9.140625" style="2"/>
    <col min="81" max="81" width="19.28515625" style="2" customWidth="1"/>
    <col min="82" max="89" width="9.140625" style="2"/>
    <col min="90" max="91" width="2.85546875" style="2" customWidth="1"/>
    <col min="92" max="92" width="19.28515625" style="2" customWidth="1"/>
    <col min="93" max="100" width="9.140625" style="2"/>
    <col min="101" max="102" width="3.85546875" style="2" customWidth="1"/>
    <col min="103" max="103" width="3.7109375" style="2" customWidth="1"/>
    <col min="104" max="104" width="18.5703125" style="2" customWidth="1"/>
    <col min="105" max="16384" width="9.140625" style="2"/>
  </cols>
  <sheetData>
    <row r="1" spans="2:18" ht="23.25">
      <c r="C1" s="73" t="s">
        <v>352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83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>
        <v>2018</v>
      </c>
      <c r="L4" s="18"/>
      <c r="O4" s="169" t="s">
        <v>298</v>
      </c>
      <c r="P4" s="170">
        <f t="shared" ref="P4:R5" si="0">+CI220</f>
        <v>154</v>
      </c>
      <c r="Q4" s="170">
        <f t="shared" si="0"/>
        <v>52.5</v>
      </c>
      <c r="R4" s="170">
        <f t="shared" si="0"/>
        <v>70</v>
      </c>
    </row>
    <row r="5" spans="2:18" ht="15.75" thickBot="1">
      <c r="L5" s="19"/>
      <c r="O5" s="171" t="s">
        <v>299</v>
      </c>
      <c r="P5" s="220">
        <f t="shared" si="0"/>
        <v>-3.5</v>
      </c>
      <c r="Q5" s="220">
        <f t="shared" si="0"/>
        <v>9.5</v>
      </c>
      <c r="R5" s="220">
        <f t="shared" si="0"/>
        <v>2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02"/>
      <c r="O6" s="173" t="s">
        <v>300</v>
      </c>
      <c r="P6" s="174" t="str">
        <f t="shared" ref="P6:R7" si="1">IF($J$9&gt;100,CT220,"0")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218" t="str">
        <f t="shared" si="1"/>
        <v>0</v>
      </c>
      <c r="Q7" s="219" t="str">
        <f t="shared" si="1"/>
        <v>0</v>
      </c>
      <c r="R7" s="219" t="str">
        <f t="shared" si="1"/>
        <v>0</v>
      </c>
    </row>
    <row r="8" spans="2:18" ht="15">
      <c r="B8" s="4" t="s">
        <v>8</v>
      </c>
      <c r="C8" s="28" t="s">
        <v>108</v>
      </c>
      <c r="E8" s="29">
        <v>1</v>
      </c>
      <c r="F8" s="74">
        <v>3500</v>
      </c>
      <c r="G8" s="5" t="s">
        <v>16</v>
      </c>
      <c r="H8" s="74">
        <v>45</v>
      </c>
      <c r="I8" s="5" t="s">
        <v>17</v>
      </c>
      <c r="J8" s="30">
        <f>E8*F8*H8</f>
        <v>157500</v>
      </c>
      <c r="L8" s="19"/>
    </row>
    <row r="9" spans="2:18" ht="15.75" thickBot="1">
      <c r="B9" s="4" t="s">
        <v>10</v>
      </c>
      <c r="C9" s="22" t="s">
        <v>79</v>
      </c>
      <c r="E9" s="31">
        <v>1</v>
      </c>
      <c r="F9" s="90">
        <v>4</v>
      </c>
      <c r="G9" s="2" t="s">
        <v>2</v>
      </c>
      <c r="H9" s="43"/>
      <c r="I9" s="2" t="s">
        <v>9</v>
      </c>
      <c r="J9" s="32">
        <f>E9*F9*H9</f>
        <v>0</v>
      </c>
      <c r="L9" s="19" t="s">
        <v>339</v>
      </c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157500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93">
        <v>90</v>
      </c>
      <c r="G12" s="3" t="s">
        <v>62</v>
      </c>
      <c r="H12" s="43">
        <v>120</v>
      </c>
      <c r="I12" s="3" t="s">
        <v>17</v>
      </c>
      <c r="J12" s="41">
        <f t="shared" ref="J12" si="2">E12*F12*H12</f>
        <v>10800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302</v>
      </c>
      <c r="E14" s="177">
        <v>5</v>
      </c>
      <c r="F14" s="43">
        <v>20000</v>
      </c>
      <c r="G14" s="2" t="s">
        <v>62</v>
      </c>
      <c r="H14" s="57">
        <v>1.5</v>
      </c>
      <c r="I14" s="2" t="s">
        <v>17</v>
      </c>
      <c r="J14" s="41">
        <f>H14*F14*IF(E14=1,0.5, IF(E14=2,0.3,IF(E14=3,0.2,"0")))</f>
        <v>0</v>
      </c>
      <c r="L14" s="19" t="s">
        <v>303</v>
      </c>
    </row>
    <row r="15" spans="2:18">
      <c r="D15" s="44" t="s">
        <v>323</v>
      </c>
      <c r="E15" s="56">
        <v>1</v>
      </c>
      <c r="F15" s="43">
        <v>300</v>
      </c>
      <c r="G15" s="2" t="s">
        <v>62</v>
      </c>
      <c r="H15" s="57">
        <v>39</v>
      </c>
      <c r="I15" s="2" t="s">
        <v>17</v>
      </c>
      <c r="J15" s="41">
        <f t="shared" ref="J15:J44" si="3">E15*F15*H15</f>
        <v>11700</v>
      </c>
      <c r="L15" s="19"/>
    </row>
    <row r="16" spans="2:18">
      <c r="D16" s="44" t="s">
        <v>305</v>
      </c>
      <c r="E16" s="56">
        <v>1</v>
      </c>
      <c r="F16" s="43">
        <v>50</v>
      </c>
      <c r="G16" s="2" t="s">
        <v>62</v>
      </c>
      <c r="H16" s="57">
        <v>48</v>
      </c>
      <c r="I16" s="2" t="s">
        <v>17</v>
      </c>
      <c r="J16" s="41">
        <f t="shared" si="3"/>
        <v>2400</v>
      </c>
      <c r="L16" s="19"/>
    </row>
    <row r="17" spans="2:18">
      <c r="D17" s="44" t="s">
        <v>326</v>
      </c>
      <c r="E17" s="56">
        <v>1</v>
      </c>
      <c r="F17" s="43">
        <v>100</v>
      </c>
      <c r="G17" s="2" t="s">
        <v>62</v>
      </c>
      <c r="H17" s="57">
        <v>31</v>
      </c>
      <c r="I17" s="2" t="s">
        <v>17</v>
      </c>
      <c r="J17" s="41">
        <f t="shared" si="3"/>
        <v>3100</v>
      </c>
      <c r="L17" s="19"/>
    </row>
    <row r="18" spans="2:18">
      <c r="D18" s="44"/>
      <c r="E18" s="56">
        <v>1</v>
      </c>
      <c r="F18" s="43">
        <v>0</v>
      </c>
      <c r="G18" s="2" t="s">
        <v>62</v>
      </c>
      <c r="H18" s="57">
        <v>0</v>
      </c>
      <c r="I18" s="2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>
        <v>0</v>
      </c>
      <c r="G19" s="2" t="s">
        <v>62</v>
      </c>
      <c r="H19" s="57">
        <v>0</v>
      </c>
      <c r="I19" s="2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/>
      <c r="E20" s="56">
        <v>1</v>
      </c>
      <c r="F20" s="43">
        <v>0</v>
      </c>
      <c r="G20" s="2" t="s">
        <v>62</v>
      </c>
      <c r="H20" s="57">
        <v>0</v>
      </c>
      <c r="I20" s="2" t="s">
        <v>17</v>
      </c>
      <c r="J20" s="41">
        <f t="shared" si="3"/>
        <v>0</v>
      </c>
      <c r="L20" s="180" t="s">
        <v>308</v>
      </c>
      <c r="P20" s="181">
        <v>0</v>
      </c>
      <c r="Q20" s="181">
        <v>0</v>
      </c>
      <c r="R20" s="181">
        <v>0</v>
      </c>
    </row>
    <row r="21" spans="2:18">
      <c r="D21" s="179"/>
      <c r="E21" s="56">
        <v>1</v>
      </c>
      <c r="F21" s="43">
        <v>0</v>
      </c>
      <c r="G21" s="2" t="s">
        <v>62</v>
      </c>
      <c r="H21" s="57">
        <v>0</v>
      </c>
      <c r="I21" s="2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84</v>
      </c>
      <c r="E23" s="56">
        <v>1</v>
      </c>
      <c r="F23" s="57">
        <v>0.75</v>
      </c>
      <c r="G23" s="2" t="s">
        <v>59</v>
      </c>
      <c r="H23" s="43">
        <v>4500</v>
      </c>
      <c r="I23" s="2" t="s">
        <v>25</v>
      </c>
      <c r="J23" s="41">
        <f t="shared" si="3"/>
        <v>3375</v>
      </c>
      <c r="L23" s="19"/>
    </row>
    <row r="24" spans="2:18">
      <c r="D24" s="44" t="s">
        <v>85</v>
      </c>
      <c r="E24" s="56">
        <v>1</v>
      </c>
      <c r="F24" s="57">
        <v>2</v>
      </c>
      <c r="G24" s="2" t="s">
        <v>59</v>
      </c>
      <c r="H24" s="43">
        <v>1100</v>
      </c>
      <c r="J24" s="41">
        <f t="shared" si="3"/>
        <v>2200</v>
      </c>
      <c r="L24" s="19"/>
    </row>
    <row r="25" spans="2:18">
      <c r="D25" s="44" t="s">
        <v>86</v>
      </c>
      <c r="E25" s="56">
        <v>1</v>
      </c>
      <c r="F25" s="57">
        <v>8</v>
      </c>
      <c r="G25" s="2" t="s">
        <v>80</v>
      </c>
      <c r="H25" s="43">
        <v>50</v>
      </c>
      <c r="J25" s="41">
        <f t="shared" si="3"/>
        <v>400</v>
      </c>
      <c r="L25" s="19"/>
    </row>
    <row r="26" spans="2:18">
      <c r="D26" s="44" t="s">
        <v>118</v>
      </c>
      <c r="E26" s="56">
        <v>1</v>
      </c>
      <c r="F26" s="57">
        <v>1.5</v>
      </c>
      <c r="G26" s="2" t="s">
        <v>59</v>
      </c>
      <c r="H26" s="43">
        <v>1600</v>
      </c>
      <c r="J26" s="41">
        <f t="shared" si="3"/>
        <v>2400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3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3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3</v>
      </c>
      <c r="F30" s="57">
        <v>15</v>
      </c>
      <c r="G30" s="2" t="s">
        <v>59</v>
      </c>
      <c r="H30" s="43">
        <v>145</v>
      </c>
      <c r="I30" s="2" t="s">
        <v>25</v>
      </c>
      <c r="J30" s="41">
        <f t="shared" si="3"/>
        <v>6525</v>
      </c>
      <c r="L30" s="19" t="s">
        <v>309</v>
      </c>
    </row>
    <row r="31" spans="2:18">
      <c r="B31" s="8" t="s">
        <v>26</v>
      </c>
      <c r="C31" s="2" t="s">
        <v>38</v>
      </c>
      <c r="E31" s="31">
        <v>1</v>
      </c>
      <c r="F31" s="57">
        <v>60</v>
      </c>
      <c r="G31" s="2" t="s">
        <v>59</v>
      </c>
      <c r="H31" s="43">
        <f>+Resursi!G30</f>
        <v>145</v>
      </c>
      <c r="I31" s="2" t="s">
        <v>25</v>
      </c>
      <c r="J31" s="41">
        <f t="shared" si="3"/>
        <v>8700</v>
      </c>
      <c r="L31" s="19"/>
    </row>
    <row r="32" spans="2:18">
      <c r="B32" s="8" t="s">
        <v>29</v>
      </c>
      <c r="C32" s="2" t="s">
        <v>39</v>
      </c>
      <c r="E32" s="31">
        <v>1</v>
      </c>
      <c r="F32" s="2">
        <v>1</v>
      </c>
      <c r="G32" s="2" t="s">
        <v>1</v>
      </c>
      <c r="H32" s="6">
        <f>Resursi!G15*(F31+F30*E30)</f>
        <v>1514.4230769230769</v>
      </c>
      <c r="I32" s="2" t="s">
        <v>27</v>
      </c>
      <c r="J32" s="41">
        <f t="shared" si="3"/>
        <v>1514.4230769230769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/>
      <c r="G34" s="2" t="s">
        <v>1</v>
      </c>
      <c r="H34" s="43"/>
      <c r="I34" s="2" t="s">
        <v>27</v>
      </c>
      <c r="J34" s="41">
        <f t="shared" si="3"/>
        <v>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3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>
        <v>1</v>
      </c>
      <c r="G36" s="2" t="s">
        <v>1</v>
      </c>
      <c r="H36" s="43">
        <v>2500</v>
      </c>
      <c r="I36" s="2" t="s">
        <v>27</v>
      </c>
      <c r="J36" s="41">
        <f t="shared" si="3"/>
        <v>2500</v>
      </c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3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10</v>
      </c>
      <c r="G40" s="2" t="s">
        <v>66</v>
      </c>
      <c r="H40" s="43">
        <v>200</v>
      </c>
      <c r="I40" s="2" t="s">
        <v>70</v>
      </c>
      <c r="J40" s="41">
        <f t="shared" si="3"/>
        <v>2000</v>
      </c>
      <c r="L40" s="19" t="s">
        <v>348</v>
      </c>
    </row>
    <row r="41" spans="2:12">
      <c r="B41" s="8" t="s">
        <v>50</v>
      </c>
      <c r="C41" s="2" t="s">
        <v>126</v>
      </c>
      <c r="E41" s="23"/>
      <c r="H41" s="6"/>
      <c r="J41" s="41"/>
      <c r="L41" s="19"/>
    </row>
    <row r="42" spans="2:12">
      <c r="D42" s="57" t="s">
        <v>60</v>
      </c>
      <c r="E42" s="31">
        <v>1</v>
      </c>
      <c r="F42" s="43"/>
      <c r="G42" s="2" t="s">
        <v>62</v>
      </c>
      <c r="H42" s="90"/>
      <c r="I42" s="2" t="s">
        <v>17</v>
      </c>
      <c r="J42" s="41">
        <f t="shared" si="3"/>
        <v>0</v>
      </c>
      <c r="L42" s="19"/>
    </row>
    <row r="43" spans="2:12">
      <c r="D43" s="57" t="s">
        <v>61</v>
      </c>
      <c r="E43" s="31">
        <v>1</v>
      </c>
      <c r="F43" s="43">
        <v>3500</v>
      </c>
      <c r="G43" s="2" t="s">
        <v>62</v>
      </c>
      <c r="H43" s="90">
        <v>1</v>
      </c>
      <c r="I43" s="2" t="s">
        <v>17</v>
      </c>
      <c r="J43" s="41">
        <f t="shared" si="3"/>
        <v>3500</v>
      </c>
      <c r="L43" s="19"/>
    </row>
    <row r="44" spans="2:12" ht="15" thickBot="1">
      <c r="B44" s="2" t="s">
        <v>51</v>
      </c>
      <c r="C44" s="58" t="s">
        <v>155</v>
      </c>
      <c r="D44" s="3"/>
      <c r="E44" s="56">
        <v>1</v>
      </c>
      <c r="F44" s="104">
        <v>1</v>
      </c>
      <c r="G44" s="3" t="s">
        <v>1</v>
      </c>
      <c r="H44" s="43">
        <v>3000</v>
      </c>
      <c r="I44" s="2" t="s">
        <v>27</v>
      </c>
      <c r="J44" s="41">
        <f t="shared" si="3"/>
        <v>3000</v>
      </c>
      <c r="L44" s="19"/>
    </row>
    <row r="45" spans="2:12" ht="15.75" thickBot="1">
      <c r="B45" s="33"/>
      <c r="C45" s="34" t="s">
        <v>67</v>
      </c>
      <c r="D45" s="35"/>
      <c r="E45" s="35"/>
      <c r="F45" s="36"/>
      <c r="G45" s="37"/>
      <c r="H45" s="36"/>
      <c r="I45" s="37"/>
      <c r="J45" s="38">
        <f>SUM(J12:J44)</f>
        <v>75114.423076923078</v>
      </c>
      <c r="L45" s="19"/>
    </row>
    <row r="46" spans="2:12" ht="15.75" thickBot="1">
      <c r="B46" s="61" t="s">
        <v>69</v>
      </c>
      <c r="C46" s="62" t="s">
        <v>68</v>
      </c>
      <c r="D46" s="62"/>
      <c r="E46" s="63"/>
      <c r="F46" s="63"/>
      <c r="G46" s="63"/>
      <c r="H46" s="64"/>
      <c r="I46" s="63"/>
      <c r="J46" s="21">
        <f>J10-J45</f>
        <v>82385.576923076922</v>
      </c>
      <c r="L46" s="19"/>
    </row>
    <row r="47" spans="2:12" ht="16.5" thickTop="1" thickBot="1">
      <c r="B47" s="61" t="s">
        <v>311</v>
      </c>
      <c r="C47" s="62" t="s">
        <v>312</v>
      </c>
      <c r="D47" s="62"/>
      <c r="E47" s="63"/>
      <c r="F47" s="63"/>
      <c r="G47" s="63"/>
      <c r="H47" s="64"/>
      <c r="I47" s="63"/>
      <c r="J47" s="21">
        <f>J10-J45+IF(J9&gt;100,CO226,IF(J9&lt;100,CD226,"0"))</f>
        <v>83068.68765886288</v>
      </c>
      <c r="L47" s="19"/>
    </row>
    <row r="48" spans="2:12" ht="15" thickTop="1"/>
    <row r="49" spans="2:8" ht="15.75" thickBot="1">
      <c r="C49" s="80" t="s">
        <v>123</v>
      </c>
      <c r="D49" s="81"/>
      <c r="E49" s="81"/>
      <c r="F49" s="81"/>
      <c r="G49" s="81"/>
      <c r="H49" s="81"/>
    </row>
    <row r="50" spans="2:8" ht="15" thickBot="1"/>
    <row r="51" spans="2:8" ht="15.75" thickTop="1">
      <c r="C51" s="65" t="s">
        <v>7</v>
      </c>
      <c r="D51" s="66"/>
      <c r="E51" s="66"/>
      <c r="F51" s="67" t="s">
        <v>72</v>
      </c>
    </row>
    <row r="52" spans="2:8">
      <c r="C52" s="45" t="s">
        <v>108</v>
      </c>
      <c r="F52" s="6">
        <f>J8</f>
        <v>157500</v>
      </c>
    </row>
    <row r="53" spans="2:8" ht="15" thickBot="1">
      <c r="C53" s="46" t="s">
        <v>147</v>
      </c>
      <c r="F53" s="6">
        <f>J9</f>
        <v>0</v>
      </c>
    </row>
    <row r="54" spans="2:8" ht="15.75" thickBot="1">
      <c r="B54" s="47"/>
      <c r="C54" s="34" t="s">
        <v>32</v>
      </c>
      <c r="D54" s="35"/>
      <c r="E54" s="35"/>
      <c r="F54" s="48">
        <f>J10</f>
        <v>157500</v>
      </c>
    </row>
    <row r="55" spans="2:8" ht="15">
      <c r="B55" s="47"/>
      <c r="C55" s="22" t="s">
        <v>12</v>
      </c>
      <c r="F55" s="6"/>
    </row>
    <row r="56" spans="2:8">
      <c r="C56" s="46" t="s">
        <v>13</v>
      </c>
      <c r="F56" s="6">
        <f>J12</f>
        <v>10800</v>
      </c>
    </row>
    <row r="57" spans="2:8">
      <c r="C57" s="46" t="s">
        <v>71</v>
      </c>
      <c r="F57" s="6">
        <f>SUM(J14:J19)</f>
        <v>17200</v>
      </c>
    </row>
    <row r="58" spans="2:8">
      <c r="C58" s="46" t="s">
        <v>19</v>
      </c>
      <c r="F58" s="6">
        <f>SUM(J23:J28)</f>
        <v>8375</v>
      </c>
    </row>
    <row r="59" spans="2:8">
      <c r="C59" s="46" t="s">
        <v>36</v>
      </c>
      <c r="F59" s="6">
        <f>J30</f>
        <v>6525</v>
      </c>
    </row>
    <row r="60" spans="2:8">
      <c r="C60" s="46" t="s">
        <v>38</v>
      </c>
      <c r="F60" s="6">
        <f>J31</f>
        <v>8700</v>
      </c>
    </row>
    <row r="61" spans="2:8">
      <c r="C61" s="46" t="s">
        <v>39</v>
      </c>
      <c r="F61" s="6">
        <f>J32</f>
        <v>1514.4230769230769</v>
      </c>
    </row>
    <row r="62" spans="2:8">
      <c r="C62" s="46" t="s">
        <v>42</v>
      </c>
      <c r="F62" s="6">
        <f>SUM(J34:J39)</f>
        <v>13500</v>
      </c>
    </row>
    <row r="63" spans="2:8">
      <c r="C63" s="46" t="s">
        <v>37</v>
      </c>
      <c r="F63" s="6">
        <f>J40</f>
        <v>2000</v>
      </c>
    </row>
    <row r="64" spans="2:8">
      <c r="C64" s="46" t="s">
        <v>126</v>
      </c>
      <c r="F64" s="6">
        <f>SUM(J42:J43)</f>
        <v>3500</v>
      </c>
    </row>
    <row r="65" spans="3:6" ht="15" thickBot="1">
      <c r="C65" s="103" t="s">
        <v>155</v>
      </c>
      <c r="F65" s="6">
        <f>J44</f>
        <v>3000</v>
      </c>
    </row>
    <row r="66" spans="3:6" ht="15.75" thickBot="1">
      <c r="C66" s="34" t="s">
        <v>67</v>
      </c>
      <c r="D66" s="35"/>
      <c r="E66" s="35"/>
      <c r="F66" s="48">
        <f>SUM(F56:F65)</f>
        <v>75114.423076923078</v>
      </c>
    </row>
    <row r="67" spans="3:6" ht="15.75" thickBot="1">
      <c r="C67" s="62" t="s">
        <v>30</v>
      </c>
      <c r="D67" s="63"/>
      <c r="E67" s="63"/>
      <c r="F67" s="68">
        <f>F54-F66</f>
        <v>82385.576923076922</v>
      </c>
    </row>
    <row r="68" spans="3:6" ht="15.75" thickTop="1">
      <c r="C68" s="87"/>
      <c r="D68" s="88"/>
      <c r="E68" s="88"/>
      <c r="F68" s="54"/>
    </row>
    <row r="93" spans="4:10" ht="15.75" thickBot="1">
      <c r="D93" s="80" t="s">
        <v>112</v>
      </c>
      <c r="E93" s="81"/>
      <c r="F93" s="81"/>
      <c r="G93" s="81"/>
      <c r="H93" s="81"/>
      <c r="I93" s="81"/>
      <c r="J93" s="81"/>
    </row>
    <row r="95" spans="4:10" ht="15.75" thickBot="1">
      <c r="D95" s="10"/>
      <c r="E95" s="11"/>
      <c r="F95" s="12"/>
      <c r="G95" s="49"/>
      <c r="H95" s="49" t="s">
        <v>106</v>
      </c>
      <c r="I95" s="49"/>
      <c r="J95" s="70"/>
    </row>
    <row r="96" spans="4:10">
      <c r="D96" s="13"/>
      <c r="E96" s="14"/>
      <c r="F96" s="100">
        <v>-0.2</v>
      </c>
      <c r="G96" s="100">
        <v>-0.1</v>
      </c>
      <c r="H96" s="50" t="s">
        <v>75</v>
      </c>
      <c r="I96" s="100">
        <v>0.1</v>
      </c>
      <c r="J96" s="101">
        <v>0.2</v>
      </c>
    </row>
    <row r="97" spans="4:10" ht="15.75" thickBot="1">
      <c r="D97" s="51" t="s">
        <v>74</v>
      </c>
      <c r="E97" s="52"/>
      <c r="F97" s="83">
        <f>H97*(1+F96)</f>
        <v>36</v>
      </c>
      <c r="G97" s="83">
        <f>H97*(1+G96)</f>
        <v>40.5</v>
      </c>
      <c r="H97" s="83">
        <f>H8</f>
        <v>45</v>
      </c>
      <c r="I97" s="84">
        <f>$H$97*(1+I96)</f>
        <v>49.500000000000007</v>
      </c>
      <c r="J97" s="85">
        <f>$H$97*(1+J96)</f>
        <v>54</v>
      </c>
    </row>
    <row r="98" spans="4:10" ht="15">
      <c r="D98" s="98">
        <v>-0.2</v>
      </c>
      <c r="E98" s="53">
        <f>$E$100*(1+D98)</f>
        <v>2800</v>
      </c>
      <c r="F98" s="79">
        <f>$H$98-$E$98*($H$97-F97)</f>
        <v>26368.68765886288</v>
      </c>
      <c r="G98" s="79">
        <f>$H$98-$E$98*($H$97-G97)</f>
        <v>38968.68765886288</v>
      </c>
      <c r="H98" s="79">
        <f>$H$100-($E$100-E98)*$H$97</f>
        <v>51568.68765886288</v>
      </c>
      <c r="I98" s="75">
        <f>$H$98+$E$98*(I97-$H$97)</f>
        <v>64168.687658862902</v>
      </c>
      <c r="J98" s="76">
        <f>$H$98+$E$98*(J97-$H$97)</f>
        <v>76768.68765886288</v>
      </c>
    </row>
    <row r="99" spans="4:10" ht="15">
      <c r="D99" s="98">
        <v>-0.1</v>
      </c>
      <c r="E99" s="53">
        <f>$E$100*(1+D99)</f>
        <v>3150</v>
      </c>
      <c r="F99" s="79">
        <f>$H$99-$E$99*($H$97-F97)</f>
        <v>38968.68765886288</v>
      </c>
      <c r="G99" s="79">
        <f>$H$99-$E$99*($H$97-G97)</f>
        <v>53143.68765886288</v>
      </c>
      <c r="H99" s="79">
        <f>$H$100-($E$100-E99)*$H$97</f>
        <v>67318.68765886288</v>
      </c>
      <c r="I99" s="79">
        <f>$H$99+$E$99*(I97-$H$97)</f>
        <v>81493.687658862909</v>
      </c>
      <c r="J99" s="82">
        <f>$H$99+$E$99*(J97-$H$97)</f>
        <v>95668.68765886288</v>
      </c>
    </row>
    <row r="100" spans="4:10" ht="15">
      <c r="D100" s="16" t="s">
        <v>31</v>
      </c>
      <c r="E100" s="53">
        <f>F8</f>
        <v>3500</v>
      </c>
      <c r="F100" s="79">
        <f>$H$100-$E$100*($H$97-F97)</f>
        <v>51568.68765886288</v>
      </c>
      <c r="G100" s="79">
        <f>$H$100-$E$100*($H$97-G97)</f>
        <v>67318.68765886288</v>
      </c>
      <c r="H100" s="54">
        <f>J47</f>
        <v>83068.68765886288</v>
      </c>
      <c r="I100" s="75">
        <f>$H$100+$E$100*(I97-$H$97)</f>
        <v>98818.687658862909</v>
      </c>
      <c r="J100" s="76">
        <f>$H$100+$E$100*(J97-$H$97)</f>
        <v>114568.68765886288</v>
      </c>
    </row>
    <row r="101" spans="4:10" ht="15">
      <c r="D101" s="98">
        <v>0.1</v>
      </c>
      <c r="E101" s="69">
        <f>$E$100*(1+D101)</f>
        <v>3850.0000000000005</v>
      </c>
      <c r="F101" s="75">
        <f>$H$101-$E$101*($H$97-F97)</f>
        <v>64168.687658862887</v>
      </c>
      <c r="G101" s="75">
        <f>$H$101-$E$101*($H$97-G97)</f>
        <v>81493.687658862895</v>
      </c>
      <c r="H101" s="79">
        <f>$H$100-($E$100-E101)*$H$97</f>
        <v>98818.687658862895</v>
      </c>
      <c r="I101" s="75">
        <f>$H$101+$E$101*(I97-$H$97)</f>
        <v>116143.68765886292</v>
      </c>
      <c r="J101" s="76">
        <f>$H$101+$E$101*(J97-$H$97)</f>
        <v>133468.68765886291</v>
      </c>
    </row>
    <row r="102" spans="4:10" ht="15">
      <c r="D102" s="99">
        <v>0.2</v>
      </c>
      <c r="E102" s="71">
        <f>$E$100*(1+D102)</f>
        <v>4200</v>
      </c>
      <c r="F102" s="77">
        <f>$H$102-$E$102*($H$97-F97)</f>
        <v>76768.68765886288</v>
      </c>
      <c r="G102" s="77">
        <f>$H$102-$E$102*($H$97-G97)</f>
        <v>95668.68765886288</v>
      </c>
      <c r="H102" s="86">
        <f>$H$100-($E$100-E102)*$H$97</f>
        <v>114568.68765886288</v>
      </c>
      <c r="I102" s="77">
        <f>$H$102+$E$102*(I97-$H$97)</f>
        <v>133468.68765886291</v>
      </c>
      <c r="J102" s="78">
        <f>$H$102+$E$102*(J97-$H$97)</f>
        <v>152368.68765886288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6:12:24</v>
      </c>
      <c r="CD206" s="191">
        <f>+F15</f>
        <v>300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I206">
        <f>$CD206*CF206</f>
        <v>18</v>
      </c>
      <c r="CJ206">
        <f t="shared" ref="CJ206:CK212" si="4">$CD206*CG206</f>
        <v>36</v>
      </c>
      <c r="CK206">
        <f t="shared" si="4"/>
        <v>72</v>
      </c>
      <c r="CL206"/>
      <c r="CM206"/>
      <c r="CN206" s="193" t="str">
        <f>D15</f>
        <v>NPK 6:12:24</v>
      </c>
      <c r="CO206" s="191">
        <f>+F15</f>
        <v>300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T206">
        <f>CO206*CQ206</f>
        <v>18</v>
      </c>
      <c r="CU206">
        <f>CO206*CR206</f>
        <v>36</v>
      </c>
      <c r="CV206">
        <f>CO206*CS206</f>
        <v>72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5">+D16</f>
        <v>MAP 12:52:0</v>
      </c>
      <c r="CD207" s="191">
        <f t="shared" ref="CD207:CD212" si="6">+F16</f>
        <v>50</v>
      </c>
      <c r="CE207" t="s">
        <v>16</v>
      </c>
      <c r="CF207" s="192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0.12</v>
      </c>
      <c r="CG207" s="192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192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6</v>
      </c>
      <c r="CJ207">
        <f t="shared" si="4"/>
        <v>26</v>
      </c>
      <c r="CK207">
        <f t="shared" si="4"/>
        <v>0</v>
      </c>
      <c r="CL207"/>
      <c r="CM207"/>
      <c r="CN207" s="193" t="str">
        <f t="shared" ref="CN207:CN212" si="10">D16</f>
        <v>MAP 12:52:0</v>
      </c>
      <c r="CO207" s="191">
        <f t="shared" ref="CO207:CO212" si="11">+F16</f>
        <v>50</v>
      </c>
      <c r="CP207" t="s">
        <v>16</v>
      </c>
      <c r="CQ207" s="192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0.12</v>
      </c>
      <c r="CR207" s="192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192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6</v>
      </c>
      <c r="CU207">
        <f t="shared" ref="CU207:CU212" si="16">CO207*CR207</f>
        <v>26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 t="str">
        <f t="shared" si="5"/>
        <v>AN 33,5:0:0</v>
      </c>
      <c r="CD208" s="191">
        <f t="shared" si="6"/>
        <v>100</v>
      </c>
      <c r="CE208" t="s">
        <v>16</v>
      </c>
      <c r="CF208" s="192">
        <f t="shared" si="7"/>
        <v>0.33500000000000002</v>
      </c>
      <c r="CG208" s="192">
        <f t="shared" si="8"/>
        <v>0</v>
      </c>
      <c r="CH208" s="192">
        <f t="shared" si="9"/>
        <v>0</v>
      </c>
      <c r="CI208">
        <f t="shared" ref="CI208:CI212" si="18">$CD208*CF208</f>
        <v>33.5</v>
      </c>
      <c r="CJ208">
        <f t="shared" si="4"/>
        <v>0</v>
      </c>
      <c r="CK208">
        <f t="shared" si="4"/>
        <v>0</v>
      </c>
      <c r="CL208"/>
      <c r="CM208"/>
      <c r="CN208" s="193" t="str">
        <f t="shared" si="10"/>
        <v>AN 33,5:0:0</v>
      </c>
      <c r="CO208" s="191">
        <f t="shared" si="11"/>
        <v>100</v>
      </c>
      <c r="CP208" t="s">
        <v>16</v>
      </c>
      <c r="CQ208" s="192">
        <f t="shared" si="12"/>
        <v>0.33500000000000002</v>
      </c>
      <c r="CR208" s="192">
        <f t="shared" si="13"/>
        <v>0</v>
      </c>
      <c r="CS208" s="192">
        <f t="shared" si="14"/>
        <v>0</v>
      </c>
      <c r="CT208">
        <f t="shared" si="15"/>
        <v>33.5</v>
      </c>
      <c r="CU208">
        <f t="shared" si="16"/>
        <v>0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>
        <f t="shared" si="5"/>
        <v>0</v>
      </c>
      <c r="CD211" s="191">
        <f t="shared" si="6"/>
        <v>0</v>
      </c>
      <c r="CE211" t="s">
        <v>16</v>
      </c>
      <c r="CF211" s="192">
        <f t="shared" ref="CF211:CH212" si="19">+P20</f>
        <v>0</v>
      </c>
      <c r="CG211" s="192">
        <f t="shared" si="19"/>
        <v>0</v>
      </c>
      <c r="CH211" s="192">
        <f t="shared" si="19"/>
        <v>0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93">
        <f t="shared" si="10"/>
        <v>0</v>
      </c>
      <c r="CO211" s="191">
        <f t="shared" si="11"/>
        <v>0</v>
      </c>
      <c r="CP211" t="s">
        <v>16</v>
      </c>
      <c r="CQ211" s="197">
        <f t="shared" ref="CQ211:CS212" si="20">+P20</f>
        <v>0</v>
      </c>
      <c r="CR211" s="197">
        <f t="shared" si="20"/>
        <v>0</v>
      </c>
      <c r="CS211" s="197">
        <f t="shared" si="20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20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327</v>
      </c>
      <c r="CO213" s="191">
        <f>+F14/1000</f>
        <v>20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328</v>
      </c>
      <c r="CD214" s="200">
        <f>+E14</f>
        <v>5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5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57.5</v>
      </c>
      <c r="CJ215">
        <f>SUM(CJ206:CJ214)</f>
        <v>62</v>
      </c>
      <c r="CK215">
        <f>SUM(CK206:CK214)</f>
        <v>72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57.5</v>
      </c>
      <c r="CU215">
        <f>SUM(CU206:CU214)</f>
        <v>62</v>
      </c>
      <c r="CV215">
        <f>SUM(CV206:CV214)</f>
        <v>72</v>
      </c>
    </row>
    <row r="216" spans="81:107">
      <c r="CC216" s="201" t="s">
        <v>349</v>
      </c>
      <c r="CD216">
        <v>30</v>
      </c>
      <c r="CE216" t="s">
        <v>16</v>
      </c>
      <c r="CF216"/>
      <c r="CG216"/>
      <c r="CH216"/>
      <c r="CI216">
        <f>-CD216</f>
        <v>-30</v>
      </c>
      <c r="CJ216">
        <v>0</v>
      </c>
      <c r="CK216">
        <v>0</v>
      </c>
      <c r="CL216"/>
      <c r="CM216"/>
      <c r="CN216" s="201" t="s">
        <v>349</v>
      </c>
      <c r="CO216">
        <v>30</v>
      </c>
      <c r="CP216" t="s">
        <v>16</v>
      </c>
      <c r="CQ216"/>
      <c r="CR216"/>
      <c r="CS216"/>
      <c r="CT216">
        <f>-CO216</f>
        <v>-30</v>
      </c>
      <c r="CU216">
        <v>0</v>
      </c>
      <c r="CV216">
        <v>0</v>
      </c>
    </row>
    <row r="217" spans="81:107">
      <c r="CC217" s="201" t="s">
        <v>350</v>
      </c>
      <c r="CD217">
        <v>123</v>
      </c>
      <c r="CE217" t="s">
        <v>16</v>
      </c>
      <c r="CF217">
        <v>41</v>
      </c>
      <c r="CG217"/>
      <c r="CH217"/>
      <c r="CI217">
        <f>CD217</f>
        <v>123</v>
      </c>
      <c r="CJ217">
        <v>0</v>
      </c>
      <c r="CK217">
        <v>0</v>
      </c>
      <c r="CL217"/>
      <c r="CM217"/>
      <c r="CN217" s="201" t="s">
        <v>350</v>
      </c>
      <c r="CO217">
        <v>123</v>
      </c>
      <c r="CP217" t="s">
        <v>16</v>
      </c>
      <c r="CQ217"/>
      <c r="CR217"/>
      <c r="CS217"/>
      <c r="CT217">
        <f>CO217</f>
        <v>123</v>
      </c>
      <c r="CU217">
        <v>0</v>
      </c>
      <c r="CV217">
        <v>0</v>
      </c>
    </row>
    <row r="218" spans="81:107">
      <c r="CC218" s="201" t="s">
        <v>351</v>
      </c>
      <c r="CD218" s="203">
        <f>+F8/1000</f>
        <v>3.5</v>
      </c>
      <c r="CE218" t="s">
        <v>2</v>
      </c>
      <c r="CF218"/>
      <c r="CG218"/>
      <c r="CH218"/>
      <c r="CI218"/>
      <c r="CJ218"/>
      <c r="CK218"/>
      <c r="CL218"/>
      <c r="CM218"/>
      <c r="CN218" s="201" t="s">
        <v>351</v>
      </c>
      <c r="CO218" s="204">
        <f>+CD218</f>
        <v>3.5</v>
      </c>
      <c r="CP218" t="s">
        <v>2</v>
      </c>
      <c r="CQ218"/>
      <c r="CR218"/>
      <c r="CS218"/>
      <c r="CT218"/>
      <c r="CU218"/>
      <c r="CV218"/>
    </row>
    <row r="219" spans="81:107">
      <c r="CC219" s="202" t="s">
        <v>331</v>
      </c>
      <c r="CD219"/>
      <c r="CE219" t="s">
        <v>332</v>
      </c>
      <c r="CF219"/>
      <c r="CG219"/>
      <c r="CH219"/>
      <c r="CI219" s="205">
        <v>44</v>
      </c>
      <c r="CJ219" s="205">
        <v>15</v>
      </c>
      <c r="CK219" s="205">
        <v>20</v>
      </c>
      <c r="CL219"/>
      <c r="CM219"/>
      <c r="CN219" s="202" t="s">
        <v>331</v>
      </c>
      <c r="CO219"/>
      <c r="CP219" t="s">
        <v>332</v>
      </c>
      <c r="CQ219"/>
      <c r="CR219"/>
      <c r="CS219"/>
      <c r="CT219" s="205">
        <v>65</v>
      </c>
      <c r="CU219" s="205">
        <v>22</v>
      </c>
      <c r="CV219" s="205">
        <v>48</v>
      </c>
    </row>
    <row r="220" spans="81:107" ht="15" thickBot="1">
      <c r="CC220" s="202" t="s">
        <v>331</v>
      </c>
      <c r="CD220"/>
      <c r="CE220" t="s">
        <v>16</v>
      </c>
      <c r="CF220"/>
      <c r="CG220"/>
      <c r="CH220"/>
      <c r="CI220">
        <f>CD218*44</f>
        <v>154</v>
      </c>
      <c r="CJ220">
        <f>CD218*15</f>
        <v>52.5</v>
      </c>
      <c r="CK220">
        <f>CD218*20</f>
        <v>70</v>
      </c>
      <c r="CL220"/>
      <c r="CM220"/>
      <c r="CN220" s="202" t="s">
        <v>331</v>
      </c>
      <c r="CO220"/>
      <c r="CP220" t="s">
        <v>16</v>
      </c>
      <c r="CQ220"/>
      <c r="CR220"/>
      <c r="CS220"/>
      <c r="CT220">
        <f>CO218*CT219</f>
        <v>227.5</v>
      </c>
      <c r="CU220">
        <f>CO218*CU219</f>
        <v>77</v>
      </c>
      <c r="CV220">
        <f>CO218*CV219</f>
        <v>168</v>
      </c>
    </row>
    <row r="221" spans="81:107" ht="16.5" thickTop="1" thickBot="1">
      <c r="CC221" s="206" t="s">
        <v>333</v>
      </c>
      <c r="CD221" s="207"/>
      <c r="CE221" s="207" t="s">
        <v>16</v>
      </c>
      <c r="CF221" s="207"/>
      <c r="CG221" s="207"/>
      <c r="CH221" s="207"/>
      <c r="CI221" s="208">
        <f>SUM(CI215:CI217)-CI220</f>
        <v>-3.5</v>
      </c>
      <c r="CJ221" s="209">
        <f>CJ215-CJ220</f>
        <v>9.5</v>
      </c>
      <c r="CK221" s="210">
        <f>CK215-CK220</f>
        <v>2</v>
      </c>
      <c r="CL221"/>
      <c r="CM221"/>
      <c r="CN221" s="206" t="s">
        <v>333</v>
      </c>
      <c r="CO221" s="207"/>
      <c r="CP221" s="207" t="s">
        <v>16</v>
      </c>
      <c r="CQ221" s="207"/>
      <c r="CR221" s="207"/>
      <c r="CS221" s="207"/>
      <c r="CT221" s="207">
        <f>SUM(CT215:CT217)-CT220</f>
        <v>-77</v>
      </c>
      <c r="CU221" s="210">
        <f>CU215-CU220</f>
        <v>-15</v>
      </c>
      <c r="CV221" s="210">
        <f>CV215-CV220</f>
        <v>-96</v>
      </c>
    </row>
    <row r="222" spans="81:107" ht="15" thickTop="1"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</row>
    <row r="223" spans="81:107">
      <c r="CC223" t="s">
        <v>5</v>
      </c>
      <c r="CD223"/>
      <c r="CE223"/>
      <c r="CF223"/>
      <c r="CG223"/>
      <c r="CH223"/>
      <c r="CI223" s="235">
        <f>Resursi!D25</f>
        <v>73.91304347826086</v>
      </c>
      <c r="CJ223" s="233">
        <f>Resursi!E25</f>
        <v>90.168896321070235</v>
      </c>
      <c r="CK223" s="233">
        <f>Resursi!F25</f>
        <v>42.600936454849503</v>
      </c>
      <c r="CL223"/>
      <c r="CM223"/>
      <c r="CN223" t="s">
        <v>5</v>
      </c>
      <c r="CO223"/>
      <c r="CP223"/>
      <c r="CQ223"/>
      <c r="CR223"/>
      <c r="CS223"/>
      <c r="CT223" s="212">
        <f>+CI223</f>
        <v>73.91304347826086</v>
      </c>
      <c r="CU223" s="212">
        <f t="shared" ref="CU223:CV223" si="21">+CJ223</f>
        <v>90.168896321070235</v>
      </c>
      <c r="CV223" s="212">
        <f t="shared" si="21"/>
        <v>42.600936454849503</v>
      </c>
    </row>
    <row r="224" spans="81:107" ht="15">
      <c r="CC224" s="190" t="s">
        <v>334</v>
      </c>
      <c r="CD224" s="213">
        <f>SUMPRODUCT(CI223:CK223,CI215:CK215)</f>
        <v>12907.738996655517</v>
      </c>
      <c r="CE224"/>
      <c r="CF224"/>
      <c r="CG224"/>
      <c r="CH224"/>
      <c r="CI224"/>
      <c r="CJ224"/>
      <c r="CK224"/>
      <c r="CL224"/>
      <c r="CM224"/>
      <c r="CN224" s="190" t="s">
        <v>334</v>
      </c>
      <c r="CO224" s="213">
        <f>SUMPRODUCT(CT223:CV223,CT215:CV215)</f>
        <v>12907.738996655517</v>
      </c>
      <c r="CP224"/>
      <c r="CQ224"/>
      <c r="CR224"/>
      <c r="CS224"/>
      <c r="CT224"/>
      <c r="CU224"/>
      <c r="CV224"/>
    </row>
    <row r="225" spans="81:100" ht="15.75">
      <c r="CC225" s="214" t="s">
        <v>335</v>
      </c>
      <c r="CD225" s="215">
        <f>CI220*CI223+CJ220*CJ223+CK220*CK223</f>
        <v>19098.541304347826</v>
      </c>
      <c r="CE225"/>
      <c r="CF225"/>
      <c r="CG225"/>
      <c r="CH225"/>
      <c r="CI225"/>
      <c r="CJ225"/>
      <c r="CK225"/>
      <c r="CL225"/>
      <c r="CM225"/>
      <c r="CN225" s="214" t="s">
        <v>335</v>
      </c>
      <c r="CO225" s="215">
        <f>CT220*CT223+CU220*CU223+CV220*CV223</f>
        <v>30915.179732441469</v>
      </c>
      <c r="CP225"/>
      <c r="CQ225"/>
      <c r="CR225"/>
      <c r="CS225"/>
      <c r="CT225"/>
      <c r="CU225"/>
      <c r="CV225"/>
    </row>
    <row r="226" spans="81:100" ht="30">
      <c r="CC226" s="216" t="s">
        <v>336</v>
      </c>
      <c r="CD226" s="217">
        <f>CI221*CI223+CJ221*CJ223+CK221*CK223</f>
        <v>683.11073578595324</v>
      </c>
      <c r="CE226"/>
      <c r="CF226"/>
      <c r="CG226"/>
      <c r="CH226"/>
      <c r="CI226"/>
      <c r="CJ226"/>
      <c r="CK226"/>
      <c r="CL226"/>
      <c r="CM226"/>
      <c r="CN226" s="216" t="s">
        <v>336</v>
      </c>
      <c r="CO226" s="217">
        <f>CT221*CT223+CU221*CU223+CV221*CV223</f>
        <v>-11133.527692307693</v>
      </c>
      <c r="CP226"/>
      <c r="CQ226"/>
      <c r="CR226"/>
      <c r="CS226"/>
      <c r="CT226"/>
      <c r="CU226"/>
      <c r="CV226"/>
    </row>
  </sheetData>
  <sheetProtection password="8730" sheet="1" objects="1" scenarios="1"/>
  <protectedRanges>
    <protectedRange sqref="P20:R21" name="Range9"/>
    <protectedRange sqref="F96:G96" name="Range5"/>
    <protectedRange sqref="L4:L47" name="Range4_1"/>
    <protectedRange sqref="D12:I44" name="Range3_1"/>
    <protectedRange sqref="F4" name="Range1_1"/>
    <protectedRange sqref="F8:I9" name="Range2_1"/>
    <protectedRange sqref="I96:J96" name="Range6_1"/>
    <protectedRange sqref="D98:D99" name="Range7_1"/>
    <protectedRange sqref="D101:D102" name="Range8_1"/>
  </protectedRanges>
  <conditionalFormatting sqref="P5">
    <cfRule type="cellIs" dxfId="23" priority="6" operator="lessThan">
      <formula>0</formula>
    </cfRule>
  </conditionalFormatting>
  <conditionalFormatting sqref="Q5">
    <cfRule type="cellIs" dxfId="22" priority="5" operator="lessThan">
      <formula>0</formula>
    </cfRule>
  </conditionalFormatting>
  <conditionalFormatting sqref="R5">
    <cfRule type="cellIs" dxfId="21" priority="4" operator="lessThan">
      <formula>0</formula>
    </cfRule>
  </conditionalFormatting>
  <conditionalFormatting sqref="P7">
    <cfRule type="cellIs" dxfId="20" priority="3" operator="lessThan">
      <formula>0</formula>
    </cfRule>
  </conditionalFormatting>
  <conditionalFormatting sqref="Q7">
    <cfRule type="cellIs" dxfId="19" priority="2" operator="lessThan">
      <formula>0</formula>
    </cfRule>
  </conditionalFormatting>
  <conditionalFormatting sqref="R7">
    <cfRule type="cellIs" dxfId="18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9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SheetLayoutView="100" workbookViewId="0"/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6.7109375" style="2" customWidth="1"/>
    <col min="6" max="6" width="12" style="2" customWidth="1"/>
    <col min="7" max="7" width="10" style="2" customWidth="1"/>
    <col min="8" max="8" width="10.7109375" style="2" customWidth="1"/>
    <col min="9" max="9" width="10.42578125" style="2" customWidth="1"/>
    <col min="10" max="10" width="14.7109375" style="2" customWidth="1"/>
    <col min="11" max="11" width="2.42578125" style="2" customWidth="1"/>
    <col min="12" max="12" width="10.5703125" style="1" customWidth="1"/>
    <col min="13" max="14" width="2.28515625" style="2" customWidth="1"/>
    <col min="15" max="15" width="20.7109375" style="2" customWidth="1"/>
    <col min="16" max="18" width="9.140625" style="2"/>
    <col min="19" max="19" width="20" style="2" customWidth="1"/>
    <col min="20" max="80" width="9.140625" style="2"/>
    <col min="81" max="81" width="19.140625" style="2" customWidth="1"/>
    <col min="82" max="89" width="9.140625" style="2"/>
    <col min="90" max="91" width="2.42578125" style="2" customWidth="1"/>
    <col min="92" max="92" width="19.140625" style="2" customWidth="1"/>
    <col min="93" max="100" width="9.140625" style="2"/>
    <col min="101" max="103" width="2.85546875" style="2" customWidth="1"/>
    <col min="104" max="104" width="13.42578125" style="2" customWidth="1"/>
    <col min="105" max="16384" width="9.140625" style="2"/>
  </cols>
  <sheetData>
    <row r="1" spans="2:18" ht="23.25">
      <c r="C1" s="73" t="s">
        <v>356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90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>
        <v>2018</v>
      </c>
      <c r="L4" s="18"/>
      <c r="O4" s="169" t="s">
        <v>298</v>
      </c>
      <c r="P4" s="170">
        <f t="shared" ref="P4:R5" si="0">+CI218</f>
        <v>77.7</v>
      </c>
      <c r="Q4" s="170">
        <f t="shared" si="0"/>
        <v>77.7</v>
      </c>
      <c r="R4" s="170">
        <f t="shared" si="0"/>
        <v>37</v>
      </c>
    </row>
    <row r="5" spans="2:18" ht="15.75" thickBot="1">
      <c r="L5" s="19"/>
      <c r="O5" s="171" t="s">
        <v>299</v>
      </c>
      <c r="P5" s="172">
        <f t="shared" si="0"/>
        <v>9.2999999999999972</v>
      </c>
      <c r="Q5" s="172">
        <f t="shared" si="0"/>
        <v>-13.700000000000003</v>
      </c>
      <c r="R5" s="172">
        <f t="shared" si="0"/>
        <v>27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174" t="str">
        <f t="shared" ref="P6:R7" si="1">IF($J$9&gt;100,CT218,"0")</f>
        <v>0</v>
      </c>
      <c r="Q6" s="174" t="str">
        <f t="shared" si="1"/>
        <v>0</v>
      </c>
      <c r="R6" s="17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175" t="str">
        <f t="shared" si="1"/>
        <v>0</v>
      </c>
      <c r="Q7" s="176" t="str">
        <f t="shared" si="1"/>
        <v>0</v>
      </c>
      <c r="R7" s="176" t="str">
        <f t="shared" si="1"/>
        <v>0</v>
      </c>
    </row>
    <row r="8" spans="2:18" ht="15">
      <c r="B8" s="4" t="s">
        <v>8</v>
      </c>
      <c r="C8" s="28" t="s">
        <v>107</v>
      </c>
      <c r="E8" s="29">
        <v>1</v>
      </c>
      <c r="F8" s="74">
        <v>3700</v>
      </c>
      <c r="G8" s="5" t="s">
        <v>16</v>
      </c>
      <c r="H8" s="221">
        <v>35</v>
      </c>
      <c r="I8" s="95" t="s">
        <v>17</v>
      </c>
      <c r="J8" s="30">
        <f>E8*F8*H8</f>
        <v>129500</v>
      </c>
      <c r="L8" s="19"/>
    </row>
    <row r="9" spans="2:18" ht="15.75" thickBot="1">
      <c r="B9" s="4" t="s">
        <v>10</v>
      </c>
      <c r="C9" s="22" t="s">
        <v>353</v>
      </c>
      <c r="E9" s="31">
        <v>1</v>
      </c>
      <c r="F9" s="90">
        <v>6</v>
      </c>
      <c r="G9" s="3" t="s">
        <v>2</v>
      </c>
      <c r="H9" s="222"/>
      <c r="I9" s="3" t="s">
        <v>9</v>
      </c>
      <c r="J9" s="32">
        <f>E9*F9*H9</f>
        <v>0</v>
      </c>
      <c r="L9" s="19"/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129500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42">
        <v>1</v>
      </c>
      <c r="G12" s="3" t="s">
        <v>14</v>
      </c>
      <c r="H12" s="43">
        <v>12500</v>
      </c>
      <c r="I12" s="3" t="s">
        <v>15</v>
      </c>
      <c r="J12" s="41">
        <f t="shared" ref="J12" si="2">E12*F12*H12</f>
        <v>12500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302</v>
      </c>
      <c r="E14" s="177">
        <v>1</v>
      </c>
      <c r="F14" s="43"/>
      <c r="G14" s="2" t="s">
        <v>62</v>
      </c>
      <c r="H14" s="57">
        <v>0</v>
      </c>
      <c r="I14" s="2" t="s">
        <v>17</v>
      </c>
      <c r="J14" s="41">
        <f>H14*F14*IF(E14=1,0.5, IF(E14=2,0.3,IF(E14=3,0.2,"0")))</f>
        <v>0</v>
      </c>
      <c r="L14" s="19" t="s">
        <v>303</v>
      </c>
    </row>
    <row r="15" spans="2:18">
      <c r="D15" s="44" t="s">
        <v>304</v>
      </c>
      <c r="E15" s="56">
        <v>1</v>
      </c>
      <c r="F15" s="43">
        <v>400</v>
      </c>
      <c r="G15" s="2" t="s">
        <v>62</v>
      </c>
      <c r="H15" s="57">
        <v>40</v>
      </c>
      <c r="I15" s="2" t="s">
        <v>17</v>
      </c>
      <c r="J15" s="41">
        <f t="shared" ref="J15:J44" si="3">E15*F15*H15</f>
        <v>16000</v>
      </c>
      <c r="L15" s="19"/>
    </row>
    <row r="16" spans="2:18">
      <c r="D16" s="44" t="s">
        <v>306</v>
      </c>
      <c r="E16" s="56">
        <v>1</v>
      </c>
      <c r="F16" s="43">
        <v>50</v>
      </c>
      <c r="G16" s="2" t="s">
        <v>62</v>
      </c>
      <c r="H16" s="57">
        <v>34</v>
      </c>
      <c r="I16" s="2" t="s">
        <v>17</v>
      </c>
      <c r="J16" s="41">
        <f t="shared" si="3"/>
        <v>1700</v>
      </c>
      <c r="L16" s="19"/>
    </row>
    <row r="17" spans="2:18">
      <c r="D17" s="44"/>
      <c r="E17" s="56">
        <v>1</v>
      </c>
      <c r="F17" s="43"/>
      <c r="G17" s="2" t="s">
        <v>62</v>
      </c>
      <c r="H17" s="57"/>
      <c r="I17" s="2" t="s">
        <v>17</v>
      </c>
      <c r="J17" s="41">
        <f t="shared" si="3"/>
        <v>0</v>
      </c>
      <c r="L17" s="19" t="s">
        <v>354</v>
      </c>
    </row>
    <row r="18" spans="2:18">
      <c r="D18" s="44"/>
      <c r="E18" s="56">
        <v>1</v>
      </c>
      <c r="F18" s="43"/>
      <c r="G18" s="2" t="s">
        <v>62</v>
      </c>
      <c r="H18" s="57"/>
      <c r="I18" s="2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/>
      <c r="G19" s="2" t="s">
        <v>62</v>
      </c>
      <c r="H19" s="57"/>
      <c r="I19" s="2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/>
      <c r="E20" s="56">
        <v>1</v>
      </c>
      <c r="F20" s="43"/>
      <c r="G20" s="2" t="s">
        <v>62</v>
      </c>
      <c r="H20" s="57"/>
      <c r="I20" s="2" t="s">
        <v>17</v>
      </c>
      <c r="J20" s="41">
        <f t="shared" si="3"/>
        <v>0</v>
      </c>
      <c r="L20" s="180" t="s">
        <v>308</v>
      </c>
      <c r="P20" s="181">
        <v>0</v>
      </c>
      <c r="Q20" s="181">
        <v>0</v>
      </c>
      <c r="R20" s="181">
        <v>0</v>
      </c>
    </row>
    <row r="21" spans="2:18">
      <c r="D21" s="179"/>
      <c r="E21" s="56">
        <v>1</v>
      </c>
      <c r="F21" s="43"/>
      <c r="G21" s="2" t="s">
        <v>62</v>
      </c>
      <c r="H21" s="57"/>
      <c r="I21" s="2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117</v>
      </c>
      <c r="E23" s="56">
        <v>1</v>
      </c>
      <c r="F23" s="57">
        <v>2</v>
      </c>
      <c r="G23" s="2" t="s">
        <v>59</v>
      </c>
      <c r="H23" s="90">
        <v>800</v>
      </c>
      <c r="I23" s="2" t="s">
        <v>25</v>
      </c>
      <c r="J23" s="41">
        <f t="shared" si="3"/>
        <v>1600</v>
      </c>
      <c r="L23" s="19"/>
    </row>
    <row r="24" spans="2:18">
      <c r="D24" s="44" t="s">
        <v>87</v>
      </c>
      <c r="E24" s="56">
        <v>1</v>
      </c>
      <c r="F24" s="57">
        <v>1</v>
      </c>
      <c r="G24" s="2" t="s">
        <v>59</v>
      </c>
      <c r="H24" s="43">
        <v>620</v>
      </c>
      <c r="I24" s="2" t="s">
        <v>25</v>
      </c>
      <c r="J24" s="41">
        <f t="shared" si="3"/>
        <v>620</v>
      </c>
      <c r="L24" s="19"/>
    </row>
    <row r="25" spans="2:18">
      <c r="D25" s="44" t="s">
        <v>88</v>
      </c>
      <c r="E25" s="56">
        <v>1</v>
      </c>
      <c r="F25" s="57">
        <v>1.5</v>
      </c>
      <c r="H25" s="43">
        <v>1550</v>
      </c>
      <c r="I25" s="2" t="s">
        <v>25</v>
      </c>
      <c r="J25" s="41">
        <f t="shared" si="3"/>
        <v>2325</v>
      </c>
      <c r="L25" s="19"/>
    </row>
    <row r="26" spans="2:18">
      <c r="D26" s="44" t="s">
        <v>21</v>
      </c>
      <c r="E26" s="56">
        <v>1</v>
      </c>
      <c r="F26" s="57"/>
      <c r="H26" s="43"/>
      <c r="J26" s="41">
        <f t="shared" si="3"/>
        <v>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3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3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1</v>
      </c>
      <c r="F30" s="57">
        <v>15</v>
      </c>
      <c r="G30" s="2" t="s">
        <v>59</v>
      </c>
      <c r="H30" s="43">
        <v>145</v>
      </c>
      <c r="I30" s="2" t="s">
        <v>25</v>
      </c>
      <c r="J30" s="41">
        <f t="shared" si="3"/>
        <v>2175</v>
      </c>
      <c r="L30" s="19" t="s">
        <v>389</v>
      </c>
    </row>
    <row r="31" spans="2:18">
      <c r="B31" s="8" t="s">
        <v>26</v>
      </c>
      <c r="C31" s="2" t="s">
        <v>38</v>
      </c>
      <c r="E31" s="31">
        <v>1</v>
      </c>
      <c r="F31" s="57">
        <v>55</v>
      </c>
      <c r="G31" s="2" t="s">
        <v>59</v>
      </c>
      <c r="H31" s="43">
        <f>+Resursi!G30</f>
        <v>145</v>
      </c>
      <c r="I31" s="2" t="s">
        <v>25</v>
      </c>
      <c r="J31" s="41">
        <f t="shared" si="3"/>
        <v>7975</v>
      </c>
      <c r="L31" s="19"/>
    </row>
    <row r="32" spans="2:18">
      <c r="B32" s="8" t="s">
        <v>29</v>
      </c>
      <c r="C32" s="2" t="s">
        <v>39</v>
      </c>
      <c r="E32" s="31">
        <v>1</v>
      </c>
      <c r="F32" s="2">
        <v>1</v>
      </c>
      <c r="G32" s="2" t="s">
        <v>1</v>
      </c>
      <c r="H32" s="6">
        <f>Resursi!G15*(F31+F30*E30)</f>
        <v>1009.6153846153846</v>
      </c>
      <c r="I32" s="2" t="s">
        <v>27</v>
      </c>
      <c r="J32" s="41">
        <f t="shared" si="3"/>
        <v>1009.6153846153846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/>
      <c r="G34" s="2" t="s">
        <v>1</v>
      </c>
      <c r="H34" s="43"/>
      <c r="I34" s="2" t="s">
        <v>27</v>
      </c>
      <c r="J34" s="41">
        <f t="shared" si="3"/>
        <v>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3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>
        <v>1</v>
      </c>
      <c r="G36" s="2" t="s">
        <v>1</v>
      </c>
      <c r="H36" s="43">
        <v>2200</v>
      </c>
      <c r="I36" s="2" t="s">
        <v>27</v>
      </c>
      <c r="J36" s="41">
        <f t="shared" si="3"/>
        <v>2200</v>
      </c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3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0</v>
      </c>
      <c r="G40" s="2" t="s">
        <v>66</v>
      </c>
      <c r="H40" s="43">
        <v>0</v>
      </c>
      <c r="I40" s="2" t="s">
        <v>70</v>
      </c>
      <c r="J40" s="41">
        <f t="shared" si="3"/>
        <v>0</v>
      </c>
      <c r="L40" s="19" t="s">
        <v>341</v>
      </c>
    </row>
    <row r="41" spans="2:12">
      <c r="B41" s="8" t="s">
        <v>50</v>
      </c>
      <c r="C41" s="2" t="s">
        <v>126</v>
      </c>
      <c r="E41" s="23"/>
      <c r="H41" s="6"/>
      <c r="J41" s="41"/>
      <c r="L41" s="19"/>
    </row>
    <row r="42" spans="2:12">
      <c r="D42" s="57" t="s">
        <v>61</v>
      </c>
      <c r="E42" s="31">
        <v>1</v>
      </c>
      <c r="F42" s="43">
        <v>3100</v>
      </c>
      <c r="G42" s="2" t="s">
        <v>62</v>
      </c>
      <c r="H42" s="90">
        <v>0.5</v>
      </c>
      <c r="I42" s="2" t="s">
        <v>17</v>
      </c>
      <c r="J42" s="41">
        <f t="shared" si="3"/>
        <v>1550</v>
      </c>
      <c r="L42" s="19"/>
    </row>
    <row r="43" spans="2:12">
      <c r="D43" s="57"/>
      <c r="E43" s="31">
        <v>1</v>
      </c>
      <c r="F43" s="43">
        <v>3100</v>
      </c>
      <c r="G43" s="2" t="s">
        <v>62</v>
      </c>
      <c r="H43" s="90"/>
      <c r="I43" s="2" t="s">
        <v>17</v>
      </c>
      <c r="J43" s="41">
        <f t="shared" si="3"/>
        <v>0</v>
      </c>
      <c r="L43" s="19"/>
    </row>
    <row r="44" spans="2:12" ht="15" thickBot="1">
      <c r="B44" s="2" t="s">
        <v>51</v>
      </c>
      <c r="C44" s="58" t="s">
        <v>155</v>
      </c>
      <c r="D44" s="3"/>
      <c r="E44" s="56">
        <v>1</v>
      </c>
      <c r="F44" s="104">
        <v>1</v>
      </c>
      <c r="G44" s="3" t="s">
        <v>1</v>
      </c>
      <c r="H44" s="43">
        <v>2100</v>
      </c>
      <c r="I44" s="2" t="s">
        <v>27</v>
      </c>
      <c r="J44" s="41">
        <f t="shared" si="3"/>
        <v>2100</v>
      </c>
      <c r="L44" s="19"/>
    </row>
    <row r="45" spans="2:12" ht="15.75" thickBot="1">
      <c r="B45" s="33"/>
      <c r="C45" s="34" t="s">
        <v>67</v>
      </c>
      <c r="D45" s="35"/>
      <c r="E45" s="35"/>
      <c r="F45" s="36"/>
      <c r="G45" s="37"/>
      <c r="H45" s="36"/>
      <c r="I45" s="37"/>
      <c r="J45" s="38">
        <f>SUM(J12:J44)</f>
        <v>62754.615384615383</v>
      </c>
      <c r="L45" s="19"/>
    </row>
    <row r="46" spans="2:12" ht="15.75" thickBot="1">
      <c r="B46" s="61" t="s">
        <v>69</v>
      </c>
      <c r="C46" s="62" t="s">
        <v>68</v>
      </c>
      <c r="D46" s="62"/>
      <c r="E46" s="63"/>
      <c r="F46" s="63"/>
      <c r="G46" s="63"/>
      <c r="H46" s="64"/>
      <c r="I46" s="63"/>
      <c r="J46" s="21">
        <f>J10-J45</f>
        <v>66745.384615384624</v>
      </c>
      <c r="L46" s="19"/>
    </row>
    <row r="47" spans="2:12" ht="16.5" thickTop="1" thickBot="1">
      <c r="B47" s="61" t="s">
        <v>311</v>
      </c>
      <c r="C47" s="62" t="s">
        <v>312</v>
      </c>
      <c r="D47" s="62"/>
      <c r="E47" s="63"/>
      <c r="F47" s="63"/>
      <c r="G47" s="63"/>
      <c r="H47" s="64"/>
      <c r="I47" s="63"/>
      <c r="J47" s="21">
        <f>J10-J45+IF(J9&gt;100,CO224,IF(J9&lt;100,CD224,"0"))</f>
        <v>66660.296020066904</v>
      </c>
      <c r="L47" s="55"/>
    </row>
    <row r="48" spans="2:12" ht="15" thickTop="1"/>
    <row r="49" spans="2:8" ht="15.75" thickBot="1">
      <c r="C49" s="80" t="s">
        <v>124</v>
      </c>
      <c r="D49" s="81"/>
      <c r="E49" s="81"/>
      <c r="F49" s="81"/>
      <c r="G49" s="81"/>
      <c r="H49" s="81"/>
    </row>
    <row r="50" spans="2:8" ht="15" thickBot="1"/>
    <row r="51" spans="2:8" ht="15.75" thickTop="1">
      <c r="C51" s="65" t="s">
        <v>7</v>
      </c>
      <c r="D51" s="66"/>
      <c r="E51" s="66"/>
      <c r="F51" s="67" t="s">
        <v>72</v>
      </c>
    </row>
    <row r="52" spans="2:8">
      <c r="C52" s="45" t="s">
        <v>107</v>
      </c>
      <c r="F52" s="6">
        <f>J8</f>
        <v>129500</v>
      </c>
    </row>
    <row r="53" spans="2:8" ht="15" thickBot="1">
      <c r="C53" s="46" t="s">
        <v>148</v>
      </c>
      <c r="F53" s="6">
        <f>J9</f>
        <v>0</v>
      </c>
    </row>
    <row r="54" spans="2:8" ht="15.75" thickBot="1">
      <c r="B54" s="47"/>
      <c r="C54" s="34" t="s">
        <v>32</v>
      </c>
      <c r="D54" s="35"/>
      <c r="E54" s="35"/>
      <c r="F54" s="48">
        <f>J10</f>
        <v>129500</v>
      </c>
    </row>
    <row r="55" spans="2:8" ht="15">
      <c r="B55" s="47"/>
      <c r="C55" s="22" t="s">
        <v>12</v>
      </c>
      <c r="F55" s="6"/>
    </row>
    <row r="56" spans="2:8">
      <c r="C56" s="46" t="s">
        <v>13</v>
      </c>
      <c r="F56" s="6">
        <f>J12</f>
        <v>12500</v>
      </c>
    </row>
    <row r="57" spans="2:8">
      <c r="C57" s="46" t="s">
        <v>71</v>
      </c>
      <c r="F57" s="6">
        <f>SUM(J14:J21)</f>
        <v>17700</v>
      </c>
    </row>
    <row r="58" spans="2:8">
      <c r="C58" s="46" t="s">
        <v>19</v>
      </c>
      <c r="F58" s="6">
        <f>SUM(J23:J28)</f>
        <v>4545</v>
      </c>
    </row>
    <row r="59" spans="2:8">
      <c r="C59" s="46" t="s">
        <v>36</v>
      </c>
      <c r="F59" s="6">
        <f>J30</f>
        <v>2175</v>
      </c>
    </row>
    <row r="60" spans="2:8">
      <c r="C60" s="46" t="s">
        <v>38</v>
      </c>
      <c r="F60" s="6">
        <f>J31</f>
        <v>7975</v>
      </c>
    </row>
    <row r="61" spans="2:8">
      <c r="C61" s="46" t="s">
        <v>39</v>
      </c>
      <c r="F61" s="6">
        <f>J32</f>
        <v>1009.6153846153846</v>
      </c>
    </row>
    <row r="62" spans="2:8">
      <c r="C62" s="46" t="s">
        <v>42</v>
      </c>
      <c r="F62" s="6">
        <f>SUM(J34:J39)</f>
        <v>13200</v>
      </c>
    </row>
    <row r="63" spans="2:8">
      <c r="C63" s="46" t="s">
        <v>37</v>
      </c>
      <c r="F63" s="6">
        <f>J40</f>
        <v>0</v>
      </c>
    </row>
    <row r="64" spans="2:8">
      <c r="C64" s="46" t="s">
        <v>126</v>
      </c>
      <c r="F64" s="6">
        <f>SUM(J42:J43)</f>
        <v>1550</v>
      </c>
    </row>
    <row r="65" spans="3:6" ht="15" thickBot="1">
      <c r="C65" s="103" t="s">
        <v>155</v>
      </c>
      <c r="F65" s="6">
        <f>J44</f>
        <v>2100</v>
      </c>
    </row>
    <row r="66" spans="3:6" ht="15.75" thickBot="1">
      <c r="C66" s="34" t="s">
        <v>67</v>
      </c>
      <c r="D66" s="35"/>
      <c r="E66" s="35"/>
      <c r="F66" s="48">
        <f>SUM(F56:F65)</f>
        <v>62754.615384615383</v>
      </c>
    </row>
    <row r="67" spans="3:6" ht="15.75" thickBot="1">
      <c r="C67" s="62" t="s">
        <v>30</v>
      </c>
      <c r="D67" s="63"/>
      <c r="E67" s="63"/>
      <c r="F67" s="68">
        <f>F54-F66</f>
        <v>66745.384615384624</v>
      </c>
    </row>
    <row r="68" spans="3:6" ht="15.75" thickTop="1">
      <c r="C68" s="87"/>
      <c r="D68" s="88"/>
      <c r="E68" s="88"/>
      <c r="F68" s="54"/>
    </row>
    <row r="93" spans="4:10" ht="15.75" thickBot="1">
      <c r="D93" s="80" t="s">
        <v>111</v>
      </c>
      <c r="E93" s="81"/>
      <c r="F93" s="81"/>
      <c r="G93" s="81"/>
      <c r="H93" s="81"/>
      <c r="I93" s="81"/>
      <c r="J93" s="81"/>
    </row>
    <row r="95" spans="4:10" ht="15.75" thickBot="1">
      <c r="D95" s="10"/>
      <c r="E95" s="11"/>
      <c r="F95" s="12"/>
      <c r="G95" s="49"/>
      <c r="H95" s="49" t="s">
        <v>106</v>
      </c>
      <c r="I95" s="49"/>
      <c r="J95" s="70"/>
    </row>
    <row r="96" spans="4:10">
      <c r="D96" s="13"/>
      <c r="E96" s="14"/>
      <c r="F96" s="100">
        <v>-0.2</v>
      </c>
      <c r="G96" s="100">
        <v>-0.1</v>
      </c>
      <c r="H96" s="50" t="s">
        <v>75</v>
      </c>
      <c r="I96" s="100">
        <v>0.1</v>
      </c>
      <c r="J96" s="101">
        <v>0.2</v>
      </c>
    </row>
    <row r="97" spans="4:10" ht="15.75" thickBot="1">
      <c r="D97" s="51" t="s">
        <v>74</v>
      </c>
      <c r="E97" s="52"/>
      <c r="F97" s="83">
        <f>H97*(1+F96)</f>
        <v>28</v>
      </c>
      <c r="G97" s="83">
        <f>H97*(1+G96)</f>
        <v>31.5</v>
      </c>
      <c r="H97" s="83">
        <f>H8</f>
        <v>35</v>
      </c>
      <c r="I97" s="84">
        <f>$H$97*(1+I96)</f>
        <v>38.5</v>
      </c>
      <c r="J97" s="85">
        <f>$H$97*(1+J96)</f>
        <v>42</v>
      </c>
    </row>
    <row r="98" spans="4:10" ht="15">
      <c r="D98" s="98">
        <v>-0.2</v>
      </c>
      <c r="E98" s="53">
        <f>$E$100*(1+D98)</f>
        <v>2960</v>
      </c>
      <c r="F98" s="79">
        <f>$H$98-$E$98*($H$97-F97)</f>
        <v>20040.296020066904</v>
      </c>
      <c r="G98" s="79">
        <f>$H$98-$E$98*($H$97-G97)</f>
        <v>30400.296020066904</v>
      </c>
      <c r="H98" s="79">
        <f>$H$100-($E$100-E98)*$H$97</f>
        <v>40760.296020066904</v>
      </c>
      <c r="I98" s="75">
        <f>$H$98+$E$98*(I97-$H$97)</f>
        <v>51120.296020066904</v>
      </c>
      <c r="J98" s="76">
        <f>$H$98+$E$98*(J97-$H$97)</f>
        <v>61480.296020066904</v>
      </c>
    </row>
    <row r="99" spans="4:10" ht="15">
      <c r="D99" s="98">
        <v>-0.1</v>
      </c>
      <c r="E99" s="53">
        <f>$E$100*(1+D99)</f>
        <v>3330</v>
      </c>
      <c r="F99" s="79">
        <f>$H$99-$E$99*($H$97-F97)</f>
        <v>30400.296020066904</v>
      </c>
      <c r="G99" s="79">
        <f>$H$99-$E$99*($H$97-G97)</f>
        <v>42055.296020066904</v>
      </c>
      <c r="H99" s="79">
        <f>$H$100-($E$100-E99)*$H$97</f>
        <v>53710.296020066904</v>
      </c>
      <c r="I99" s="79">
        <f>$H$99+$E$99*(I97-$H$97)</f>
        <v>65365.296020066904</v>
      </c>
      <c r="J99" s="82">
        <f>$H$99+$E$99*(J97-$H$97)</f>
        <v>77020.296020066904</v>
      </c>
    </row>
    <row r="100" spans="4:10" ht="15">
      <c r="D100" s="16" t="s">
        <v>31</v>
      </c>
      <c r="E100" s="53">
        <f>F8</f>
        <v>3700</v>
      </c>
      <c r="F100" s="79">
        <f>$H$100-$E$100*($H$97-F97)</f>
        <v>40760.296020066904</v>
      </c>
      <c r="G100" s="79">
        <f>$H$100-$E$100*($H$97-G97)</f>
        <v>53710.296020066904</v>
      </c>
      <c r="H100" s="54">
        <f>J47</f>
        <v>66660.296020066904</v>
      </c>
      <c r="I100" s="75">
        <f>$H$100+$E$100*(I97-$H$97)</f>
        <v>79610.296020066904</v>
      </c>
      <c r="J100" s="76">
        <f>$H$100+$E$100*(J97-$H$97)</f>
        <v>92560.296020066904</v>
      </c>
    </row>
    <row r="101" spans="4:10" ht="15">
      <c r="D101" s="98">
        <v>0.1</v>
      </c>
      <c r="E101" s="69">
        <f>$E$100*(1+D101)</f>
        <v>4070.0000000000005</v>
      </c>
      <c r="F101" s="75">
        <f>$H$101-$E$101*($H$97-F97)</f>
        <v>51120.296020066919</v>
      </c>
      <c r="G101" s="75">
        <f>$H$101-$E$101*($H$97-G97)</f>
        <v>65365.296020066919</v>
      </c>
      <c r="H101" s="79">
        <f>$H$100-($E$100-E101)*$H$97</f>
        <v>79610.296020066919</v>
      </c>
      <c r="I101" s="75">
        <f>$H$101+$E$101*(I97-$H$97)</f>
        <v>93855.296020066919</v>
      </c>
      <c r="J101" s="76">
        <f>$H$101+$E$101*(J97-$H$97)</f>
        <v>108100.29602006692</v>
      </c>
    </row>
    <row r="102" spans="4:10" ht="15">
      <c r="D102" s="99">
        <v>0.2</v>
      </c>
      <c r="E102" s="71">
        <f>$E$100*(1+D102)</f>
        <v>4440</v>
      </c>
      <c r="F102" s="77">
        <f>$H$102-$E$102*($H$97-F97)</f>
        <v>61480.296020066904</v>
      </c>
      <c r="G102" s="77">
        <f>$H$102-$E$102*($H$97-G97)</f>
        <v>77020.296020066904</v>
      </c>
      <c r="H102" s="86">
        <f>$H$100-($E$100-E102)*$H$97</f>
        <v>92560.296020066904</v>
      </c>
      <c r="I102" s="77">
        <f>$H$102+$E$102*(I97-$H$97)</f>
        <v>108100.2960200669</v>
      </c>
      <c r="J102" s="78">
        <f>$H$102+$E$102*(J97-$H$97)</f>
        <v>123640.2960200669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16:16:16</v>
      </c>
      <c r="CD206" s="191">
        <f>+F15</f>
        <v>400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I206">
        <f>$CD206*CF206</f>
        <v>64</v>
      </c>
      <c r="CJ206">
        <f t="shared" ref="CJ206:CK212" si="4">$CD206*CG206</f>
        <v>64</v>
      </c>
      <c r="CK206">
        <f t="shared" si="4"/>
        <v>64</v>
      </c>
      <c r="CL206"/>
      <c r="CM206"/>
      <c r="CN206" s="193" t="str">
        <f>D15</f>
        <v>NPK 16:16:16</v>
      </c>
      <c r="CO206" s="191">
        <f>+F15</f>
        <v>400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T206">
        <f>CO206*CQ206</f>
        <v>64</v>
      </c>
      <c r="CU206">
        <f>CO206*CR206</f>
        <v>64</v>
      </c>
      <c r="CV206">
        <f>CO206*CS206</f>
        <v>64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5">+D16</f>
        <v>UREA 46:0:0</v>
      </c>
      <c r="CD207" s="191">
        <f t="shared" ref="CD207:CD212" si="6">+F16</f>
        <v>50</v>
      </c>
      <c r="CE207" t="s">
        <v>16</v>
      </c>
      <c r="CF207" s="192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192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192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23</v>
      </c>
      <c r="CJ207">
        <f t="shared" si="4"/>
        <v>0</v>
      </c>
      <c r="CK207">
        <f t="shared" si="4"/>
        <v>0</v>
      </c>
      <c r="CL207"/>
      <c r="CM207"/>
      <c r="CN207" s="193" t="str">
        <f t="shared" ref="CN207:CN212" si="10">D16</f>
        <v>UREA 46:0:0</v>
      </c>
      <c r="CO207" s="191">
        <f t="shared" ref="CO207:CO212" si="11">+F16</f>
        <v>50</v>
      </c>
      <c r="CP207" t="s">
        <v>16</v>
      </c>
      <c r="CQ207" s="192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192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192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23</v>
      </c>
      <c r="CU207">
        <f t="shared" ref="CU207:CU212" si="16">CO207*CR207</f>
        <v>0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>
        <f t="shared" si="5"/>
        <v>0</v>
      </c>
      <c r="CD208" s="191">
        <f t="shared" si="6"/>
        <v>0</v>
      </c>
      <c r="CE208" t="s">
        <v>16</v>
      </c>
      <c r="CF208" s="192" t="str">
        <f t="shared" si="7"/>
        <v>0%</v>
      </c>
      <c r="CG208" s="192" t="str">
        <f t="shared" si="8"/>
        <v>0%</v>
      </c>
      <c r="CH208" s="192" t="str">
        <f t="shared" si="9"/>
        <v>0%</v>
      </c>
      <c r="CI208">
        <f t="shared" ref="CI208:CI212" si="18">$CD208*CF208</f>
        <v>0</v>
      </c>
      <c r="CJ208">
        <f t="shared" si="4"/>
        <v>0</v>
      </c>
      <c r="CK208">
        <f t="shared" si="4"/>
        <v>0</v>
      </c>
      <c r="CL208"/>
      <c r="CM208"/>
      <c r="CN208" s="193">
        <f t="shared" si="10"/>
        <v>0</v>
      </c>
      <c r="CO208" s="191">
        <f t="shared" si="11"/>
        <v>0</v>
      </c>
      <c r="CP208" t="s">
        <v>16</v>
      </c>
      <c r="CQ208" s="192" t="str">
        <f t="shared" si="12"/>
        <v>0%</v>
      </c>
      <c r="CR208" s="192" t="str">
        <f t="shared" si="13"/>
        <v>0%</v>
      </c>
      <c r="CS208" s="192" t="str">
        <f t="shared" si="14"/>
        <v>0%</v>
      </c>
      <c r="CT208">
        <f t="shared" si="15"/>
        <v>0</v>
      </c>
      <c r="CU208">
        <f t="shared" si="16"/>
        <v>0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>
        <f t="shared" si="5"/>
        <v>0</v>
      </c>
      <c r="CD211" s="191">
        <f t="shared" si="6"/>
        <v>0</v>
      </c>
      <c r="CE211" t="s">
        <v>16</v>
      </c>
      <c r="CF211" s="192">
        <f t="shared" ref="CF211:CH212" si="19">+P20</f>
        <v>0</v>
      </c>
      <c r="CG211" s="192">
        <f t="shared" si="19"/>
        <v>0</v>
      </c>
      <c r="CH211" s="192">
        <f t="shared" si="19"/>
        <v>0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93">
        <f t="shared" si="10"/>
        <v>0</v>
      </c>
      <c r="CO211" s="191">
        <f t="shared" si="11"/>
        <v>0</v>
      </c>
      <c r="CP211" t="s">
        <v>16</v>
      </c>
      <c r="CQ211" s="197">
        <f t="shared" ref="CQ211:CS212" si="20">+P20</f>
        <v>0</v>
      </c>
      <c r="CR211" s="197">
        <f t="shared" si="20"/>
        <v>0</v>
      </c>
      <c r="CS211" s="197">
        <f t="shared" si="20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327</v>
      </c>
      <c r="CO213" s="191">
        <f>+F14/1000</f>
        <v>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328</v>
      </c>
      <c r="CD214" s="200">
        <f>+E14</f>
        <v>1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1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87</v>
      </c>
      <c r="CJ215">
        <f>SUM(CJ206:CJ214)</f>
        <v>64</v>
      </c>
      <c r="CK215">
        <f>SUM(CK206:CK214)</f>
        <v>64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87</v>
      </c>
      <c r="CU215">
        <f>SUM(CU206:CU214)</f>
        <v>64</v>
      </c>
      <c r="CV215">
        <f>SUM(CV206:CV214)</f>
        <v>64</v>
      </c>
    </row>
    <row r="216" spans="81:107">
      <c r="CC216" s="202" t="s">
        <v>355</v>
      </c>
      <c r="CD216" s="203">
        <f>+F8/1000</f>
        <v>3.7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355</v>
      </c>
      <c r="CO216" s="204">
        <f>+CD216</f>
        <v>3.7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21</v>
      </c>
      <c r="CJ217" s="205">
        <v>21</v>
      </c>
      <c r="CK217" s="205">
        <v>10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35</v>
      </c>
      <c r="CU217" s="205">
        <v>30</v>
      </c>
      <c r="CV217" s="205">
        <v>80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77.7</v>
      </c>
      <c r="CJ218">
        <f>CD216*CJ217</f>
        <v>77.7</v>
      </c>
      <c r="CK218">
        <f>CD216*CK217</f>
        <v>37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129.5</v>
      </c>
      <c r="CU218">
        <f>CO216*CU217</f>
        <v>111</v>
      </c>
      <c r="CV218">
        <f>CO216*CV217</f>
        <v>296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9.2999999999999972</v>
      </c>
      <c r="CJ219" s="209">
        <f>CJ215-CJ218</f>
        <v>-13.700000000000003</v>
      </c>
      <c r="CK219" s="210">
        <f>CK215-CK218</f>
        <v>27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-42.5</v>
      </c>
      <c r="CU219" s="210">
        <f>CU215-CU218</f>
        <v>-47</v>
      </c>
      <c r="CV219" s="210">
        <f>CV215-CV218</f>
        <v>-232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12">
        <f>+CI221</f>
        <v>73.91304347826086</v>
      </c>
      <c r="CU221" s="212">
        <f t="shared" ref="CU221:CV221" si="21">+CJ221</f>
        <v>90.168896321070235</v>
      </c>
      <c r="CV221" s="212">
        <f t="shared" si="21"/>
        <v>42.600936454849503</v>
      </c>
    </row>
    <row r="222" spans="81:107" ht="15">
      <c r="CC222" s="190" t="s">
        <v>334</v>
      </c>
      <c r="CD222" s="213">
        <f>SUMPRODUCT(CI221:CK221,CI215:CK215)</f>
        <v>14927.704080267558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14927.704080267558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14325.401371237458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32190.363812709031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-85.088595317725776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-14121.355384615386</v>
      </c>
      <c r="CP224"/>
      <c r="CQ224"/>
      <c r="CR224"/>
      <c r="CS224"/>
      <c r="CT224"/>
      <c r="CU224"/>
      <c r="CV224"/>
    </row>
  </sheetData>
  <sheetProtection password="8730" sheet="1" objects="1" scenarios="1"/>
  <protectedRanges>
    <protectedRange sqref="P20:R21" name="Range9"/>
    <protectedRange sqref="L4:L46" name="Range4_2"/>
    <protectedRange sqref="D101:D102" name="Range7_1"/>
    <protectedRange sqref="D98:D99" name="Range6_1"/>
    <protectedRange sqref="I96:J96" name="Range5_1"/>
    <protectedRange sqref="F96:G96" name="Range4_1"/>
    <protectedRange sqref="D12:I44" name="Range3_1"/>
    <protectedRange sqref="F8:I9" name="Range2_1"/>
    <protectedRange sqref="F4" name="Range1_1"/>
  </protectedRanges>
  <conditionalFormatting sqref="P5">
    <cfRule type="cellIs" dxfId="17" priority="6" operator="lessThan">
      <formula>0</formula>
    </cfRule>
  </conditionalFormatting>
  <conditionalFormatting sqref="Q5">
    <cfRule type="cellIs" dxfId="16" priority="5" operator="lessThan">
      <formula>0</formula>
    </cfRule>
  </conditionalFormatting>
  <conditionalFormatting sqref="R5">
    <cfRule type="cellIs" dxfId="15" priority="4" operator="lessThan">
      <formula>0</formula>
    </cfRule>
  </conditionalFormatting>
  <conditionalFormatting sqref="P7">
    <cfRule type="cellIs" dxfId="14" priority="3" operator="lessThan">
      <formula>0</formula>
    </cfRule>
  </conditionalFormatting>
  <conditionalFormatting sqref="Q7">
    <cfRule type="cellIs" dxfId="13" priority="2" operator="lessThan">
      <formula>0</formula>
    </cfRule>
  </conditionalFormatting>
  <conditionalFormatting sqref="R7">
    <cfRule type="cellIs" dxfId="12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9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B1:DC224"/>
  <sheetViews>
    <sheetView zoomScaleSheetLayoutView="100" workbookViewId="0"/>
  </sheetViews>
  <sheetFormatPr defaultRowHeight="14.25"/>
  <cols>
    <col min="1" max="1" width="2.7109375" style="2" customWidth="1"/>
    <col min="2" max="2" width="3.5703125" style="2" bestFit="1" customWidth="1"/>
    <col min="3" max="3" width="6.7109375" style="2" customWidth="1"/>
    <col min="4" max="4" width="21.28515625" style="2" customWidth="1"/>
    <col min="5" max="5" width="6.7109375" style="2" customWidth="1"/>
    <col min="6" max="6" width="12" style="2" customWidth="1"/>
    <col min="7" max="7" width="10" style="2" customWidth="1"/>
    <col min="8" max="8" width="10.7109375" style="2" customWidth="1"/>
    <col min="9" max="9" width="10.42578125" style="2" customWidth="1"/>
    <col min="10" max="10" width="14.7109375" style="2" customWidth="1"/>
    <col min="11" max="11" width="2.42578125" style="2" customWidth="1"/>
    <col min="12" max="12" width="10.5703125" style="1" customWidth="1"/>
    <col min="13" max="14" width="2.28515625" style="2" customWidth="1"/>
    <col min="15" max="15" width="20.7109375" style="2" customWidth="1"/>
    <col min="16" max="18" width="9.140625" style="2"/>
    <col min="19" max="19" width="19.7109375" style="2" customWidth="1"/>
    <col min="20" max="80" width="9.140625" style="2"/>
    <col min="81" max="81" width="19.42578125" style="2" customWidth="1"/>
    <col min="82" max="89" width="9.140625" style="2"/>
    <col min="90" max="91" width="2.7109375" style="2" customWidth="1"/>
    <col min="92" max="92" width="19.28515625" style="2" customWidth="1"/>
    <col min="93" max="100" width="9.140625" style="2"/>
    <col min="101" max="103" width="2.5703125" style="2" customWidth="1"/>
    <col min="104" max="104" width="12.5703125" style="2" bestFit="1" customWidth="1"/>
    <col min="105" max="16384" width="9.140625" style="2"/>
  </cols>
  <sheetData>
    <row r="1" spans="2:18" ht="23.25">
      <c r="C1" s="73" t="s">
        <v>369</v>
      </c>
      <c r="O1" s="166" t="s">
        <v>293</v>
      </c>
      <c r="P1" s="166"/>
      <c r="Q1" s="166"/>
      <c r="R1" s="166"/>
    </row>
    <row r="2" spans="2:18">
      <c r="O2" s="166" t="s">
        <v>294</v>
      </c>
      <c r="P2" s="166"/>
      <c r="Q2" s="166"/>
      <c r="R2" s="166"/>
    </row>
    <row r="3" spans="2:18" ht="15.75" thickBot="1">
      <c r="C3" s="80" t="s">
        <v>359</v>
      </c>
      <c r="D3" s="80"/>
      <c r="E3" s="80"/>
      <c r="F3" s="80"/>
      <c r="G3" s="80"/>
      <c r="H3" s="80"/>
      <c r="L3" s="72" t="s">
        <v>0</v>
      </c>
      <c r="O3" s="167"/>
      <c r="P3" s="168" t="s">
        <v>295</v>
      </c>
      <c r="Q3" s="168" t="s">
        <v>296</v>
      </c>
      <c r="R3" s="168" t="s">
        <v>297</v>
      </c>
    </row>
    <row r="4" spans="2:18" ht="15.75" thickBot="1">
      <c r="C4" s="81" t="s">
        <v>91</v>
      </c>
      <c r="D4" s="81"/>
      <c r="E4" s="81"/>
      <c r="F4" s="89">
        <v>2018</v>
      </c>
      <c r="L4" s="18"/>
      <c r="O4" s="169" t="s">
        <v>298</v>
      </c>
      <c r="P4" s="170">
        <f t="shared" ref="P4:R5" si="0">+CI218</f>
        <v>143.5</v>
      </c>
      <c r="Q4" s="170">
        <f t="shared" si="0"/>
        <v>73.5</v>
      </c>
      <c r="R4" s="170">
        <f t="shared" si="0"/>
        <v>35</v>
      </c>
    </row>
    <row r="5" spans="2:18" ht="15.75" thickBot="1">
      <c r="L5" s="19"/>
      <c r="O5" s="171" t="s">
        <v>299</v>
      </c>
      <c r="P5" s="172">
        <f t="shared" si="0"/>
        <v>1.6000000000000227</v>
      </c>
      <c r="Q5" s="172">
        <f t="shared" si="0"/>
        <v>16</v>
      </c>
      <c r="R5" s="172">
        <f t="shared" si="0"/>
        <v>2.5</v>
      </c>
    </row>
    <row r="6" spans="2:18" ht="38.25">
      <c r="E6" s="97" t="s">
        <v>104</v>
      </c>
      <c r="F6" s="91" t="s">
        <v>3</v>
      </c>
      <c r="G6" s="92" t="s">
        <v>4</v>
      </c>
      <c r="H6" s="91" t="s">
        <v>5</v>
      </c>
      <c r="I6" s="92" t="s">
        <v>4</v>
      </c>
      <c r="J6" s="91" t="s">
        <v>47</v>
      </c>
      <c r="L6" s="19"/>
      <c r="O6" s="173" t="s">
        <v>300</v>
      </c>
      <c r="P6" s="224" t="str">
        <f t="shared" ref="P6:R7" si="1">IF($J$9&gt;100,CT218,"0")</f>
        <v>0</v>
      </c>
      <c r="Q6" s="224" t="str">
        <f t="shared" si="1"/>
        <v>0</v>
      </c>
      <c r="R6" s="224" t="str">
        <f t="shared" si="1"/>
        <v>0</v>
      </c>
    </row>
    <row r="7" spans="2:18" ht="15.75" thickBot="1">
      <c r="B7" s="24" t="s">
        <v>6</v>
      </c>
      <c r="C7" s="25" t="s">
        <v>7</v>
      </c>
      <c r="D7" s="26"/>
      <c r="E7" s="27"/>
      <c r="F7" s="3"/>
      <c r="G7" s="3"/>
      <c r="H7" s="3"/>
      <c r="I7" s="3"/>
      <c r="J7" s="3"/>
      <c r="L7" s="20"/>
      <c r="O7" s="171" t="s">
        <v>299</v>
      </c>
      <c r="P7" s="218" t="str">
        <f t="shared" si="1"/>
        <v>0</v>
      </c>
      <c r="Q7" s="219" t="str">
        <f t="shared" si="1"/>
        <v>0</v>
      </c>
      <c r="R7" s="219" t="str">
        <f t="shared" si="1"/>
        <v>0</v>
      </c>
    </row>
    <row r="8" spans="2:18" ht="15">
      <c r="B8" s="4" t="s">
        <v>8</v>
      </c>
      <c r="C8" s="28" t="s">
        <v>360</v>
      </c>
      <c r="E8" s="29">
        <v>1</v>
      </c>
      <c r="F8" s="74">
        <v>3500</v>
      </c>
      <c r="G8" s="5" t="s">
        <v>16</v>
      </c>
      <c r="H8" s="225">
        <v>40</v>
      </c>
      <c r="I8" s="95" t="s">
        <v>17</v>
      </c>
      <c r="J8" s="30">
        <f>E8*F8*H8</f>
        <v>140000</v>
      </c>
      <c r="L8" s="19"/>
    </row>
    <row r="9" spans="2:18" ht="15.75" thickBot="1">
      <c r="B9" s="4" t="s">
        <v>10</v>
      </c>
      <c r="C9" s="22" t="s">
        <v>353</v>
      </c>
      <c r="E9" s="31">
        <v>1</v>
      </c>
      <c r="F9" s="90">
        <v>3</v>
      </c>
      <c r="G9" s="3" t="s">
        <v>2</v>
      </c>
      <c r="H9" s="90"/>
      <c r="I9" s="3" t="s">
        <v>9</v>
      </c>
      <c r="J9" s="32">
        <f>E9*F9*H9</f>
        <v>0</v>
      </c>
      <c r="L9" s="19" t="s">
        <v>339</v>
      </c>
    </row>
    <row r="10" spans="2:18" ht="15.75" thickBot="1">
      <c r="B10" s="33"/>
      <c r="C10" s="34" t="s">
        <v>32</v>
      </c>
      <c r="D10" s="35"/>
      <c r="E10" s="35"/>
      <c r="F10" s="36"/>
      <c r="G10" s="37"/>
      <c r="H10" s="36"/>
      <c r="I10" s="37"/>
      <c r="J10" s="38">
        <f>SUM(J8:J9)</f>
        <v>140000</v>
      </c>
      <c r="L10" s="19"/>
    </row>
    <row r="11" spans="2:18" ht="15">
      <c r="B11" s="39" t="s">
        <v>11</v>
      </c>
      <c r="C11" s="22" t="s">
        <v>12</v>
      </c>
      <c r="E11" s="40"/>
      <c r="F11" s="6"/>
      <c r="H11" s="6"/>
      <c r="J11" s="41"/>
      <c r="L11" s="19"/>
    </row>
    <row r="12" spans="2:18">
      <c r="B12" s="4" t="s">
        <v>8</v>
      </c>
      <c r="C12" s="3" t="s">
        <v>13</v>
      </c>
      <c r="E12" s="56">
        <v>1</v>
      </c>
      <c r="F12" s="42">
        <v>0.4</v>
      </c>
      <c r="G12" s="3" t="s">
        <v>14</v>
      </c>
      <c r="H12" s="43">
        <v>21000</v>
      </c>
      <c r="I12" s="3" t="s">
        <v>15</v>
      </c>
      <c r="J12" s="41">
        <f t="shared" ref="J12" si="2">E12*F12*H12</f>
        <v>8400</v>
      </c>
      <c r="L12" s="19"/>
    </row>
    <row r="13" spans="2:18">
      <c r="B13" s="8" t="s">
        <v>10</v>
      </c>
      <c r="C13" s="3" t="s">
        <v>71</v>
      </c>
      <c r="E13" s="56"/>
      <c r="F13" s="7"/>
      <c r="G13" s="3"/>
      <c r="H13" s="7"/>
      <c r="I13" s="3"/>
      <c r="J13" s="41"/>
      <c r="L13" s="19"/>
    </row>
    <row r="14" spans="2:18">
      <c r="C14" s="9"/>
      <c r="D14" s="44" t="s">
        <v>35</v>
      </c>
      <c r="E14" s="177">
        <v>5</v>
      </c>
      <c r="F14" s="43">
        <v>0</v>
      </c>
      <c r="G14" s="2" t="s">
        <v>62</v>
      </c>
      <c r="H14" s="57">
        <v>0</v>
      </c>
      <c r="I14" s="2" t="s">
        <v>17</v>
      </c>
      <c r="J14" s="41">
        <f>H14*F14*IF(E14=1,0.5, IF(E14=2,0.3,IF(E14=3,0.2,"0")))</f>
        <v>0</v>
      </c>
      <c r="L14" s="19" t="s">
        <v>303</v>
      </c>
    </row>
    <row r="15" spans="2:18">
      <c r="D15" s="44" t="s">
        <v>315</v>
      </c>
      <c r="E15" s="56">
        <v>1</v>
      </c>
      <c r="F15" s="43">
        <v>250</v>
      </c>
      <c r="G15" s="2" t="s">
        <v>62</v>
      </c>
      <c r="H15" s="57">
        <v>38</v>
      </c>
      <c r="I15" s="2" t="s">
        <v>17</v>
      </c>
      <c r="J15" s="41">
        <f t="shared" ref="J15:J44" si="3">E15*F15*H15</f>
        <v>9500</v>
      </c>
      <c r="L15" s="19"/>
    </row>
    <row r="16" spans="2:18">
      <c r="D16" s="44" t="s">
        <v>306</v>
      </c>
      <c r="E16" s="56">
        <v>1</v>
      </c>
      <c r="F16" s="43">
        <v>210</v>
      </c>
      <c r="G16" s="2" t="s">
        <v>62</v>
      </c>
      <c r="H16" s="57">
        <v>34</v>
      </c>
      <c r="I16" s="2" t="s">
        <v>17</v>
      </c>
      <c r="J16" s="41">
        <f t="shared" si="3"/>
        <v>7140</v>
      </c>
      <c r="L16" s="19"/>
    </row>
    <row r="17" spans="2:18">
      <c r="D17" s="44" t="s">
        <v>324</v>
      </c>
      <c r="E17" s="56">
        <v>1</v>
      </c>
      <c r="F17" s="43">
        <v>100</v>
      </c>
      <c r="G17" s="2" t="s">
        <v>62</v>
      </c>
      <c r="H17" s="57">
        <v>49</v>
      </c>
      <c r="I17" s="2" t="s">
        <v>17</v>
      </c>
      <c r="J17" s="41">
        <f t="shared" si="3"/>
        <v>4900</v>
      </c>
      <c r="L17" s="19"/>
    </row>
    <row r="18" spans="2:18">
      <c r="D18" s="44"/>
      <c r="E18" s="56">
        <v>1</v>
      </c>
      <c r="F18" s="43"/>
      <c r="G18" s="2" t="s">
        <v>62</v>
      </c>
      <c r="H18" s="57"/>
      <c r="I18" s="2" t="s">
        <v>17</v>
      </c>
      <c r="J18" s="41">
        <f t="shared" si="3"/>
        <v>0</v>
      </c>
      <c r="L18" s="19"/>
    </row>
    <row r="19" spans="2:18" ht="15">
      <c r="D19" s="44"/>
      <c r="E19" s="56">
        <v>1</v>
      </c>
      <c r="F19" s="43"/>
      <c r="G19" s="2" t="s">
        <v>62</v>
      </c>
      <c r="H19" s="57"/>
      <c r="I19" s="2" t="s">
        <v>17</v>
      </c>
      <c r="J19" s="41">
        <f t="shared" si="3"/>
        <v>0</v>
      </c>
      <c r="L19" s="19"/>
      <c r="P19" s="178" t="s">
        <v>295</v>
      </c>
      <c r="Q19" s="178" t="s">
        <v>296</v>
      </c>
      <c r="R19" s="178" t="s">
        <v>297</v>
      </c>
    </row>
    <row r="20" spans="2:18">
      <c r="D20" s="179" t="s">
        <v>361</v>
      </c>
      <c r="E20" s="56">
        <v>1</v>
      </c>
      <c r="F20" s="43"/>
      <c r="G20" s="2" t="s">
        <v>62</v>
      </c>
      <c r="H20" s="57"/>
      <c r="I20" s="2" t="s">
        <v>17</v>
      </c>
      <c r="J20" s="41">
        <f t="shared" si="3"/>
        <v>0</v>
      </c>
      <c r="L20" s="180" t="s">
        <v>308</v>
      </c>
      <c r="P20" s="181">
        <v>0.08</v>
      </c>
      <c r="Q20" s="181">
        <v>0.16</v>
      </c>
      <c r="R20" s="181">
        <v>0.24</v>
      </c>
    </row>
    <row r="21" spans="2:18">
      <c r="D21" s="179"/>
      <c r="E21" s="56">
        <v>1</v>
      </c>
      <c r="F21" s="43"/>
      <c r="G21" s="2" t="s">
        <v>62</v>
      </c>
      <c r="H21" s="57"/>
      <c r="I21" s="2" t="s">
        <v>17</v>
      </c>
      <c r="J21" s="41">
        <f t="shared" si="3"/>
        <v>0</v>
      </c>
      <c r="L21" s="180" t="s">
        <v>308</v>
      </c>
      <c r="P21" s="181">
        <v>0</v>
      </c>
      <c r="Q21" s="181">
        <v>0</v>
      </c>
      <c r="R21" s="181">
        <v>0</v>
      </c>
    </row>
    <row r="22" spans="2:18">
      <c r="B22" s="8" t="s">
        <v>18</v>
      </c>
      <c r="C22" s="15" t="s">
        <v>19</v>
      </c>
      <c r="E22" s="23"/>
      <c r="J22" s="41"/>
      <c r="L22" s="19"/>
    </row>
    <row r="23" spans="2:18">
      <c r="D23" s="44" t="s">
        <v>362</v>
      </c>
      <c r="E23" s="56">
        <v>1</v>
      </c>
      <c r="F23" s="57">
        <v>0.4</v>
      </c>
      <c r="G23" s="2" t="s">
        <v>59</v>
      </c>
      <c r="H23" s="90">
        <v>8600</v>
      </c>
      <c r="I23" s="2" t="s">
        <v>25</v>
      </c>
      <c r="J23" s="41">
        <f t="shared" si="3"/>
        <v>3440</v>
      </c>
      <c r="L23" s="19"/>
    </row>
    <row r="24" spans="2:18">
      <c r="D24" s="44" t="s">
        <v>363</v>
      </c>
      <c r="E24" s="56">
        <v>1</v>
      </c>
      <c r="F24" s="57">
        <v>0.3</v>
      </c>
      <c r="G24" s="2" t="s">
        <v>59</v>
      </c>
      <c r="H24" s="43">
        <v>6870</v>
      </c>
      <c r="I24" s="2" t="s">
        <v>25</v>
      </c>
      <c r="J24" s="41">
        <f t="shared" si="3"/>
        <v>2061</v>
      </c>
      <c r="L24" s="19"/>
    </row>
    <row r="25" spans="2:18">
      <c r="D25" s="44" t="s">
        <v>364</v>
      </c>
      <c r="E25" s="56">
        <v>1</v>
      </c>
      <c r="F25" s="57"/>
      <c r="H25" s="43"/>
      <c r="I25" s="2" t="s">
        <v>25</v>
      </c>
      <c r="J25" s="41">
        <f t="shared" si="3"/>
        <v>0</v>
      </c>
      <c r="L25" s="19"/>
    </row>
    <row r="26" spans="2:18">
      <c r="D26" s="44" t="s">
        <v>21</v>
      </c>
      <c r="E26" s="56">
        <v>1</v>
      </c>
      <c r="F26" s="57"/>
      <c r="H26" s="43"/>
      <c r="J26" s="41">
        <f t="shared" si="3"/>
        <v>0</v>
      </c>
      <c r="L26" s="19"/>
    </row>
    <row r="27" spans="2:18">
      <c r="D27" s="44" t="s">
        <v>22</v>
      </c>
      <c r="E27" s="56">
        <v>1</v>
      </c>
      <c r="F27" s="57"/>
      <c r="H27" s="43"/>
      <c r="J27" s="41">
        <f t="shared" si="3"/>
        <v>0</v>
      </c>
      <c r="L27" s="19"/>
    </row>
    <row r="28" spans="2:18">
      <c r="D28" s="44" t="s">
        <v>23</v>
      </c>
      <c r="E28" s="56">
        <v>1</v>
      </c>
      <c r="F28" s="57"/>
      <c r="H28" s="43"/>
      <c r="J28" s="41">
        <f t="shared" si="3"/>
        <v>0</v>
      </c>
      <c r="L28" s="19"/>
    </row>
    <row r="29" spans="2:18">
      <c r="B29" s="8" t="s">
        <v>24</v>
      </c>
      <c r="C29" s="2" t="s">
        <v>36</v>
      </c>
      <c r="E29" s="23"/>
      <c r="H29" s="6"/>
      <c r="J29" s="41"/>
      <c r="L29" s="19"/>
    </row>
    <row r="30" spans="2:18">
      <c r="C30" s="9" t="s">
        <v>40</v>
      </c>
      <c r="D30" s="15" t="s">
        <v>40</v>
      </c>
      <c r="E30" s="31">
        <v>1</v>
      </c>
      <c r="F30" s="57"/>
      <c r="G30" s="2" t="s">
        <v>59</v>
      </c>
      <c r="H30" s="43"/>
      <c r="I30" s="2" t="s">
        <v>25</v>
      </c>
      <c r="J30" s="41">
        <f t="shared" si="3"/>
        <v>0</v>
      </c>
      <c r="L30" s="19"/>
    </row>
    <row r="31" spans="2:18">
      <c r="B31" s="8" t="s">
        <v>26</v>
      </c>
      <c r="C31" s="2" t="s">
        <v>38</v>
      </c>
      <c r="E31" s="31">
        <v>1</v>
      </c>
      <c r="F31" s="57">
        <v>60</v>
      </c>
      <c r="G31" s="2" t="s">
        <v>59</v>
      </c>
      <c r="H31" s="43">
        <f>+Resursi!G30</f>
        <v>145</v>
      </c>
      <c r="I31" s="2" t="s">
        <v>25</v>
      </c>
      <c r="J31" s="41">
        <f t="shared" si="3"/>
        <v>8700</v>
      </c>
      <c r="L31" s="19"/>
    </row>
    <row r="32" spans="2:18">
      <c r="B32" s="8" t="s">
        <v>29</v>
      </c>
      <c r="C32" s="2" t="s">
        <v>39</v>
      </c>
      <c r="E32" s="31">
        <v>1</v>
      </c>
      <c r="F32" s="2">
        <v>1</v>
      </c>
      <c r="G32" s="2" t="s">
        <v>1</v>
      </c>
      <c r="H32" s="6">
        <f>Resursi!G15*(F31+F30*E30)</f>
        <v>865.38461538461536</v>
      </c>
      <c r="I32" s="2" t="s">
        <v>27</v>
      </c>
      <c r="J32" s="41">
        <f t="shared" si="3"/>
        <v>865.38461538461536</v>
      </c>
      <c r="L32" s="19"/>
    </row>
    <row r="33" spans="2:12">
      <c r="B33" s="8" t="s">
        <v>44</v>
      </c>
      <c r="C33" s="2" t="s">
        <v>42</v>
      </c>
      <c r="E33" s="23"/>
      <c r="H33" s="6"/>
      <c r="J33" s="41"/>
      <c r="L33" s="19"/>
    </row>
    <row r="34" spans="2:12">
      <c r="B34" s="8"/>
      <c r="C34" s="58"/>
      <c r="D34" s="59" t="s">
        <v>43</v>
      </c>
      <c r="E34" s="56">
        <v>1</v>
      </c>
      <c r="F34" s="57"/>
      <c r="G34" s="2" t="s">
        <v>1</v>
      </c>
      <c r="H34" s="43"/>
      <c r="I34" s="2" t="s">
        <v>27</v>
      </c>
      <c r="J34" s="41">
        <f t="shared" si="3"/>
        <v>0</v>
      </c>
      <c r="L34" s="19"/>
    </row>
    <row r="35" spans="2:12">
      <c r="B35" s="8"/>
      <c r="C35" s="58"/>
      <c r="D35" s="59" t="s">
        <v>49</v>
      </c>
      <c r="E35" s="56">
        <v>1</v>
      </c>
      <c r="F35" s="57"/>
      <c r="G35" s="2" t="s">
        <v>1</v>
      </c>
      <c r="H35" s="43"/>
      <c r="I35" s="2" t="s">
        <v>27</v>
      </c>
      <c r="J35" s="41">
        <f t="shared" si="3"/>
        <v>0</v>
      </c>
      <c r="L35" s="19"/>
    </row>
    <row r="36" spans="2:12">
      <c r="B36" s="8"/>
      <c r="C36" s="58"/>
      <c r="D36" s="59" t="s">
        <v>28</v>
      </c>
      <c r="E36" s="56">
        <v>1</v>
      </c>
      <c r="F36" s="57">
        <v>1</v>
      </c>
      <c r="G36" s="2" t="s">
        <v>1</v>
      </c>
      <c r="H36" s="43">
        <v>2500</v>
      </c>
      <c r="I36" s="2" t="s">
        <v>27</v>
      </c>
      <c r="J36" s="41">
        <f t="shared" si="3"/>
        <v>2500</v>
      </c>
      <c r="L36" s="19"/>
    </row>
    <row r="37" spans="2:12">
      <c r="B37" s="8"/>
      <c r="C37" s="58"/>
      <c r="D37" s="59" t="s">
        <v>82</v>
      </c>
      <c r="E37" s="56">
        <v>1</v>
      </c>
      <c r="F37" s="57">
        <v>1</v>
      </c>
      <c r="G37" s="2" t="s">
        <v>1</v>
      </c>
      <c r="H37" s="43">
        <v>11000</v>
      </c>
      <c r="I37" s="2" t="s">
        <v>27</v>
      </c>
      <c r="J37" s="41">
        <f t="shared" si="3"/>
        <v>11000</v>
      </c>
      <c r="L37" s="19"/>
    </row>
    <row r="38" spans="2:12">
      <c r="C38" s="58"/>
      <c r="D38" s="59"/>
      <c r="E38" s="56">
        <v>1</v>
      </c>
      <c r="F38" s="57"/>
      <c r="G38" s="2" t="s">
        <v>1</v>
      </c>
      <c r="H38" s="43"/>
      <c r="I38" s="2" t="s">
        <v>27</v>
      </c>
      <c r="J38" s="41">
        <f t="shared" si="3"/>
        <v>0</v>
      </c>
      <c r="L38" s="19"/>
    </row>
    <row r="39" spans="2:12">
      <c r="C39" s="60"/>
      <c r="D39" s="57"/>
      <c r="E39" s="56">
        <v>1</v>
      </c>
      <c r="F39" s="57"/>
      <c r="G39" s="2" t="s">
        <v>1</v>
      </c>
      <c r="H39" s="43"/>
      <c r="I39" s="2" t="s">
        <v>27</v>
      </c>
      <c r="J39" s="41">
        <f t="shared" si="3"/>
        <v>0</v>
      </c>
      <c r="L39" s="19"/>
    </row>
    <row r="40" spans="2:12">
      <c r="B40" s="8" t="s">
        <v>46</v>
      </c>
      <c r="C40" s="2" t="s">
        <v>41</v>
      </c>
      <c r="E40" s="56">
        <v>1</v>
      </c>
      <c r="F40" s="57">
        <v>0</v>
      </c>
      <c r="G40" s="2" t="s">
        <v>66</v>
      </c>
      <c r="H40" s="43">
        <v>0</v>
      </c>
      <c r="I40" s="2" t="s">
        <v>70</v>
      </c>
      <c r="J40" s="41">
        <f t="shared" si="3"/>
        <v>0</v>
      </c>
      <c r="L40" s="19" t="s">
        <v>341</v>
      </c>
    </row>
    <row r="41" spans="2:12">
      <c r="B41" s="8" t="s">
        <v>50</v>
      </c>
      <c r="C41" s="2" t="s">
        <v>126</v>
      </c>
      <c r="E41" s="23"/>
      <c r="H41" s="6"/>
      <c r="J41" s="41"/>
      <c r="L41" s="19"/>
    </row>
    <row r="42" spans="2:12">
      <c r="D42" s="57" t="s">
        <v>61</v>
      </c>
      <c r="E42" s="31">
        <v>1</v>
      </c>
      <c r="F42" s="43">
        <v>3100</v>
      </c>
      <c r="G42" s="2" t="s">
        <v>62</v>
      </c>
      <c r="H42" s="90">
        <v>1</v>
      </c>
      <c r="I42" s="2" t="s">
        <v>17</v>
      </c>
      <c r="J42" s="41">
        <f t="shared" si="3"/>
        <v>3100</v>
      </c>
      <c r="L42" s="19"/>
    </row>
    <row r="43" spans="2:12">
      <c r="D43" s="57"/>
      <c r="E43" s="31">
        <v>1</v>
      </c>
      <c r="F43" s="43"/>
      <c r="G43" s="2" t="s">
        <v>62</v>
      </c>
      <c r="H43" s="90"/>
      <c r="I43" s="2" t="s">
        <v>17</v>
      </c>
      <c r="J43" s="41">
        <f t="shared" si="3"/>
        <v>0</v>
      </c>
      <c r="L43" s="19"/>
    </row>
    <row r="44" spans="2:12" ht="15" thickBot="1">
      <c r="B44" s="2" t="s">
        <v>51</v>
      </c>
      <c r="C44" s="58" t="s">
        <v>155</v>
      </c>
      <c r="D44" s="3"/>
      <c r="E44" s="56">
        <v>1</v>
      </c>
      <c r="F44" s="104">
        <v>1</v>
      </c>
      <c r="G44" s="3" t="s">
        <v>1</v>
      </c>
      <c r="H44" s="43">
        <v>2100</v>
      </c>
      <c r="I44" s="2" t="s">
        <v>27</v>
      </c>
      <c r="J44" s="41">
        <f t="shared" si="3"/>
        <v>2100</v>
      </c>
      <c r="L44" s="19"/>
    </row>
    <row r="45" spans="2:12" ht="15.75" thickBot="1">
      <c r="B45" s="33"/>
      <c r="C45" s="34" t="s">
        <v>67</v>
      </c>
      <c r="D45" s="35"/>
      <c r="E45" s="35"/>
      <c r="F45" s="36"/>
      <c r="G45" s="37"/>
      <c r="H45" s="36"/>
      <c r="I45" s="37"/>
      <c r="J45" s="38">
        <f>SUM(J12:J44)</f>
        <v>63706.384615384617</v>
      </c>
      <c r="L45" s="19"/>
    </row>
    <row r="46" spans="2:12" ht="15.75" thickBot="1">
      <c r="B46" s="61" t="s">
        <v>69</v>
      </c>
      <c r="C46" s="62" t="s">
        <v>68</v>
      </c>
      <c r="D46" s="62"/>
      <c r="E46" s="63"/>
      <c r="F46" s="63"/>
      <c r="G46" s="63"/>
      <c r="H46" s="64"/>
      <c r="I46" s="63"/>
      <c r="J46" s="21">
        <f>J10-J45</f>
        <v>76293.615384615376</v>
      </c>
      <c r="L46" s="19"/>
    </row>
    <row r="47" spans="2:12" ht="16.5" thickTop="1" thickBot="1">
      <c r="B47" s="61" t="s">
        <v>311</v>
      </c>
      <c r="C47" s="62" t="s">
        <v>312</v>
      </c>
      <c r="D47" s="62"/>
      <c r="E47" s="63"/>
      <c r="F47" s="63"/>
      <c r="G47" s="63"/>
      <c r="H47" s="64"/>
      <c r="I47" s="63"/>
      <c r="J47" s="21">
        <f>J10-J45+IF(J9&gt;100,CO224,IF(J9&lt;100,CD224,"0"))</f>
        <v>77842.820066889617</v>
      </c>
      <c r="L47" s="55"/>
    </row>
    <row r="48" spans="2:12" ht="15" thickTop="1"/>
    <row r="49" spans="2:8" ht="15.75" thickBot="1">
      <c r="C49" s="80" t="s">
        <v>365</v>
      </c>
      <c r="D49" s="81"/>
      <c r="E49" s="81"/>
      <c r="F49" s="81"/>
      <c r="G49" s="81"/>
      <c r="H49" s="81"/>
    </row>
    <row r="50" spans="2:8" ht="15" thickBot="1"/>
    <row r="51" spans="2:8" ht="15.75" thickTop="1">
      <c r="C51" s="65" t="s">
        <v>7</v>
      </c>
      <c r="D51" s="66"/>
      <c r="E51" s="66"/>
      <c r="F51" s="67" t="s">
        <v>72</v>
      </c>
    </row>
    <row r="52" spans="2:8">
      <c r="C52" s="45" t="s">
        <v>107</v>
      </c>
      <c r="F52" s="6">
        <f>J8</f>
        <v>140000</v>
      </c>
    </row>
    <row r="53" spans="2:8" ht="15" thickBot="1">
      <c r="C53" s="46" t="s">
        <v>148</v>
      </c>
      <c r="F53" s="6">
        <f>J9</f>
        <v>0</v>
      </c>
    </row>
    <row r="54" spans="2:8" ht="15.75" thickBot="1">
      <c r="B54" s="47"/>
      <c r="C54" s="34" t="s">
        <v>32</v>
      </c>
      <c r="D54" s="35"/>
      <c r="E54" s="35"/>
      <c r="F54" s="48">
        <f>J10</f>
        <v>140000</v>
      </c>
    </row>
    <row r="55" spans="2:8" ht="15">
      <c r="B55" s="47"/>
      <c r="C55" s="22" t="s">
        <v>12</v>
      </c>
      <c r="F55" s="6"/>
    </row>
    <row r="56" spans="2:8">
      <c r="C56" s="46" t="s">
        <v>13</v>
      </c>
      <c r="F56" s="6">
        <f>J12</f>
        <v>8400</v>
      </c>
    </row>
    <row r="57" spans="2:8">
      <c r="C57" s="46" t="s">
        <v>71</v>
      </c>
      <c r="F57" s="6">
        <f>SUM(J14:J21)</f>
        <v>21540</v>
      </c>
    </row>
    <row r="58" spans="2:8">
      <c r="C58" s="46" t="s">
        <v>19</v>
      </c>
      <c r="F58" s="6">
        <f>SUM(J23:J28)</f>
        <v>5501</v>
      </c>
    </row>
    <row r="59" spans="2:8">
      <c r="C59" s="46" t="s">
        <v>36</v>
      </c>
      <c r="F59" s="6">
        <f>J30</f>
        <v>0</v>
      </c>
    </row>
    <row r="60" spans="2:8">
      <c r="C60" s="46" t="s">
        <v>38</v>
      </c>
      <c r="F60" s="6">
        <f>J31</f>
        <v>8700</v>
      </c>
    </row>
    <row r="61" spans="2:8">
      <c r="C61" s="46" t="s">
        <v>39</v>
      </c>
      <c r="F61" s="6">
        <f>J32</f>
        <v>865.38461538461536</v>
      </c>
    </row>
    <row r="62" spans="2:8">
      <c r="C62" s="46" t="s">
        <v>42</v>
      </c>
      <c r="F62" s="6">
        <f>SUM(J34:J39)</f>
        <v>13500</v>
      </c>
    </row>
    <row r="63" spans="2:8">
      <c r="C63" s="46" t="s">
        <v>37</v>
      </c>
      <c r="F63" s="6">
        <f>J40</f>
        <v>0</v>
      </c>
    </row>
    <row r="64" spans="2:8">
      <c r="C64" s="46" t="s">
        <v>126</v>
      </c>
      <c r="F64" s="6">
        <f>SUM(J42:J43)</f>
        <v>3100</v>
      </c>
    </row>
    <row r="65" spans="3:6" ht="15" thickBot="1">
      <c r="C65" s="103" t="s">
        <v>155</v>
      </c>
      <c r="F65" s="6">
        <f>J44</f>
        <v>2100</v>
      </c>
    </row>
    <row r="66" spans="3:6" ht="15.75" thickBot="1">
      <c r="C66" s="34" t="s">
        <v>67</v>
      </c>
      <c r="D66" s="35"/>
      <c r="E66" s="35"/>
      <c r="F66" s="48">
        <f>SUM(F56:F65)</f>
        <v>63706.384615384617</v>
      </c>
    </row>
    <row r="67" spans="3:6" ht="15.75" thickBot="1">
      <c r="C67" s="62" t="s">
        <v>30</v>
      </c>
      <c r="D67" s="63"/>
      <c r="E67" s="63"/>
      <c r="F67" s="68">
        <f>F54-F66</f>
        <v>76293.615384615376</v>
      </c>
    </row>
    <row r="68" spans="3:6" ht="15.75" thickTop="1">
      <c r="C68" s="87"/>
      <c r="D68" s="88"/>
      <c r="E68" s="88"/>
      <c r="F68" s="54"/>
    </row>
    <row r="93" spans="4:10" ht="15.75" thickBot="1">
      <c r="D93" s="80" t="s">
        <v>366</v>
      </c>
      <c r="E93" s="81"/>
      <c r="F93" s="81"/>
      <c r="G93" s="81"/>
      <c r="H93" s="81"/>
      <c r="I93" s="81"/>
      <c r="J93" s="81"/>
    </row>
    <row r="95" spans="4:10" ht="15.75" thickBot="1">
      <c r="D95" s="10"/>
      <c r="E95" s="11"/>
      <c r="F95" s="12"/>
      <c r="G95" s="49"/>
      <c r="H95" s="49" t="s">
        <v>106</v>
      </c>
      <c r="I95" s="49"/>
      <c r="J95" s="70"/>
    </row>
    <row r="96" spans="4:10">
      <c r="D96" s="13"/>
      <c r="E96" s="14"/>
      <c r="F96" s="100">
        <v>-0.2</v>
      </c>
      <c r="G96" s="100">
        <v>-0.1</v>
      </c>
      <c r="H96" s="50" t="s">
        <v>75</v>
      </c>
      <c r="I96" s="100">
        <v>0.1</v>
      </c>
      <c r="J96" s="101">
        <v>0.2</v>
      </c>
    </row>
    <row r="97" spans="4:10" ht="15.75" thickBot="1">
      <c r="D97" s="51" t="s">
        <v>74</v>
      </c>
      <c r="E97" s="52"/>
      <c r="F97" s="83">
        <f>H97*(1+F96)</f>
        <v>32</v>
      </c>
      <c r="G97" s="83">
        <f>H97*(1+G96)</f>
        <v>36</v>
      </c>
      <c r="H97" s="83">
        <f>H8</f>
        <v>40</v>
      </c>
      <c r="I97" s="84">
        <f>$H$97*(1+I96)</f>
        <v>44</v>
      </c>
      <c r="J97" s="85">
        <f>$H$97*(1+J96)</f>
        <v>48</v>
      </c>
    </row>
    <row r="98" spans="4:10" ht="15">
      <c r="D98" s="98">
        <v>-0.2</v>
      </c>
      <c r="E98" s="53">
        <f>$E$100*(1+D98)</f>
        <v>2800</v>
      </c>
      <c r="F98" s="79">
        <f>$H$98-$E$98*($H$97-F97)</f>
        <v>27442.820066889617</v>
      </c>
      <c r="G98" s="79">
        <f>$H$98-$E$98*($H$97-G97)</f>
        <v>38642.820066889617</v>
      </c>
      <c r="H98" s="79">
        <f>$H$100-($E$100-E98)*$H$97</f>
        <v>49842.820066889617</v>
      </c>
      <c r="I98" s="75">
        <f>$H$98+$E$98*(I97-$H$97)</f>
        <v>61042.820066889617</v>
      </c>
      <c r="J98" s="76">
        <f>$H$98+$E$98*(J97-$H$97)</f>
        <v>72242.820066889617</v>
      </c>
    </row>
    <row r="99" spans="4:10" ht="15">
      <c r="D99" s="98">
        <v>-0.1</v>
      </c>
      <c r="E99" s="53">
        <f>$E$100*(1+D99)</f>
        <v>3150</v>
      </c>
      <c r="F99" s="79">
        <f>$H$99-$E$99*($H$97-F97)</f>
        <v>38642.820066889617</v>
      </c>
      <c r="G99" s="79">
        <f>$H$99-$E$99*($H$97-G97)</f>
        <v>51242.820066889617</v>
      </c>
      <c r="H99" s="79">
        <f>$H$100-($E$100-E99)*$H$97</f>
        <v>63842.820066889617</v>
      </c>
      <c r="I99" s="79">
        <f>$H$99+$E$99*(I97-$H$97)</f>
        <v>76442.820066889617</v>
      </c>
      <c r="J99" s="82">
        <f>$H$99+$E$99*(J97-$H$97)</f>
        <v>89042.820066889617</v>
      </c>
    </row>
    <row r="100" spans="4:10" ht="15">
      <c r="D100" s="16" t="s">
        <v>31</v>
      </c>
      <c r="E100" s="53">
        <f>F8</f>
        <v>3500</v>
      </c>
      <c r="F100" s="79">
        <f>$H$100-$E$100*($H$97-F97)</f>
        <v>49842.820066889617</v>
      </c>
      <c r="G100" s="79">
        <f>$H$100-$E$100*($H$97-G97)</f>
        <v>63842.820066889617</v>
      </c>
      <c r="H100" s="54">
        <f>J47</f>
        <v>77842.820066889617</v>
      </c>
      <c r="I100" s="75">
        <f>$H$100+$E$100*(I97-$H$97)</f>
        <v>91842.820066889617</v>
      </c>
      <c r="J100" s="76">
        <f>$H$100+$E$100*(J97-$H$97)</f>
        <v>105842.82006688962</v>
      </c>
    </row>
    <row r="101" spans="4:10" ht="15">
      <c r="D101" s="98">
        <v>0.1</v>
      </c>
      <c r="E101" s="69">
        <f>$E$100*(1+D101)</f>
        <v>3850.0000000000005</v>
      </c>
      <c r="F101" s="75">
        <f>$H$101-$E$101*($H$97-F97)</f>
        <v>61042.820066889632</v>
      </c>
      <c r="G101" s="75">
        <f>$H$101-$E$101*($H$97-G97)</f>
        <v>76442.820066889632</v>
      </c>
      <c r="H101" s="79">
        <f>$H$100-($E$100-E101)*$H$97</f>
        <v>91842.820066889632</v>
      </c>
      <c r="I101" s="75">
        <f>$H$101+$E$101*(I97-$H$97)</f>
        <v>107242.82006688963</v>
      </c>
      <c r="J101" s="76">
        <f>$H$101+$E$101*(J97-$H$97)</f>
        <v>122642.82006688963</v>
      </c>
    </row>
    <row r="102" spans="4:10" ht="15">
      <c r="D102" s="99">
        <v>0.2</v>
      </c>
      <c r="E102" s="71">
        <f>$E$100*(1+D102)</f>
        <v>4200</v>
      </c>
      <c r="F102" s="77">
        <f>$H$102-$E$102*($H$97-F97)</f>
        <v>72242.820066889617</v>
      </c>
      <c r="G102" s="77">
        <f>$H$102-$E$102*($H$97-G97)</f>
        <v>89042.820066889617</v>
      </c>
      <c r="H102" s="86">
        <f>$H$100-($E$100-E102)*$H$97</f>
        <v>105842.82006688962</v>
      </c>
      <c r="I102" s="77">
        <f>$H$102+$E$102*(I97-$H$97)</f>
        <v>122642.82006688962</v>
      </c>
      <c r="J102" s="78">
        <f>$H$102+$E$102*(J97-$H$97)</f>
        <v>139442.82006688963</v>
      </c>
    </row>
    <row r="203" spans="81:107" ht="15.75">
      <c r="CC203" s="182" t="s">
        <v>313</v>
      </c>
      <c r="CD203" s="183"/>
      <c r="CE203" s="183"/>
      <c r="CF203" s="183"/>
      <c r="CG203" s="183"/>
      <c r="CH203" s="183"/>
      <c r="CI203" s="183"/>
      <c r="CJ203" s="183"/>
      <c r="CK203" s="183"/>
      <c r="CL203"/>
      <c r="CM203"/>
      <c r="CN203" s="184" t="s">
        <v>314</v>
      </c>
      <c r="CO203" s="185"/>
      <c r="CP203" s="185"/>
      <c r="CQ203" s="185"/>
      <c r="CR203" s="185"/>
      <c r="CS203" s="185"/>
      <c r="CT203" s="185"/>
      <c r="CU203" s="185"/>
      <c r="CV203" s="185"/>
      <c r="CZ203" s="186" t="s">
        <v>315</v>
      </c>
      <c r="DA203" s="187">
        <v>0.15</v>
      </c>
      <c r="DB203" s="187">
        <v>0.15</v>
      </c>
      <c r="DC203" s="187">
        <v>0.15</v>
      </c>
    </row>
    <row r="204" spans="81:107" ht="15.75">
      <c r="CC204" s="188" t="s">
        <v>316</v>
      </c>
      <c r="CD204" s="188" t="s">
        <v>317</v>
      </c>
      <c r="CE204" s="188" t="s">
        <v>318</v>
      </c>
      <c r="CF204" s="189" t="s">
        <v>319</v>
      </c>
      <c r="CG204" s="189"/>
      <c r="CH204" s="189"/>
      <c r="CI204" s="189" t="s">
        <v>320</v>
      </c>
      <c r="CJ204" s="189"/>
      <c r="CK204" s="157"/>
      <c r="CL204"/>
      <c r="CM204"/>
      <c r="CN204" s="188" t="s">
        <v>316</v>
      </c>
      <c r="CO204" s="188" t="s">
        <v>317</v>
      </c>
      <c r="CP204" s="188" t="s">
        <v>318</v>
      </c>
      <c r="CQ204" s="189" t="s">
        <v>319</v>
      </c>
      <c r="CR204" s="189"/>
      <c r="CS204" s="189"/>
      <c r="CT204" s="189" t="s">
        <v>320</v>
      </c>
      <c r="CU204" s="189"/>
      <c r="CV204" s="157"/>
      <c r="CZ204" s="186" t="s">
        <v>304</v>
      </c>
      <c r="DA204" s="187">
        <v>0.16</v>
      </c>
      <c r="DB204" s="187">
        <v>0.16</v>
      </c>
      <c r="DC204" s="187">
        <v>0.16</v>
      </c>
    </row>
    <row r="205" spans="81:107" ht="18">
      <c r="CC205"/>
      <c r="CD205"/>
      <c r="CE205"/>
      <c r="CF205" s="190" t="s">
        <v>295</v>
      </c>
      <c r="CG205" s="190" t="s">
        <v>321</v>
      </c>
      <c r="CH205" s="190" t="s">
        <v>322</v>
      </c>
      <c r="CI205" s="190" t="s">
        <v>295</v>
      </c>
      <c r="CJ205" s="190" t="s">
        <v>321</v>
      </c>
      <c r="CK205" s="190" t="s">
        <v>322</v>
      </c>
      <c r="CL205"/>
      <c r="CM205"/>
      <c r="CN205"/>
      <c r="CO205"/>
      <c r="CP205"/>
      <c r="CQ205" s="190" t="s">
        <v>295</v>
      </c>
      <c r="CR205" s="190" t="s">
        <v>321</v>
      </c>
      <c r="CS205" s="190" t="s">
        <v>322</v>
      </c>
      <c r="CT205" s="190" t="s">
        <v>295</v>
      </c>
      <c r="CU205" s="190" t="s">
        <v>321</v>
      </c>
      <c r="CV205" s="190" t="s">
        <v>322</v>
      </c>
      <c r="CZ205" s="186" t="s">
        <v>323</v>
      </c>
      <c r="DA205" s="187">
        <v>0.06</v>
      </c>
      <c r="DB205" s="187">
        <v>0.12</v>
      </c>
      <c r="DC205" s="187">
        <v>0.24</v>
      </c>
    </row>
    <row r="206" spans="81:107">
      <c r="CC206" t="str">
        <f>+D15</f>
        <v>NPK 15:15:15</v>
      </c>
      <c r="CD206" s="191">
        <f>+F15</f>
        <v>250</v>
      </c>
      <c r="CE206" t="s">
        <v>16</v>
      </c>
      <c r="CF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37.5</v>
      </c>
      <c r="CJ206">
        <f t="shared" ref="CJ206:CK212" si="4">$CD206*CG206</f>
        <v>37.5</v>
      </c>
      <c r="CK206">
        <f t="shared" si="4"/>
        <v>37.5</v>
      </c>
      <c r="CL206"/>
      <c r="CM206"/>
      <c r="CN206" s="193" t="str">
        <f>D15</f>
        <v>NPK 15:15:15</v>
      </c>
      <c r="CO206" s="191">
        <f>+F15</f>
        <v>250</v>
      </c>
      <c r="CP206" t="s">
        <v>16</v>
      </c>
      <c r="CQ206" s="192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192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192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37.5</v>
      </c>
      <c r="CU206">
        <f>CO206*CR206</f>
        <v>37.5</v>
      </c>
      <c r="CV206">
        <f>CO206*CS206</f>
        <v>37.5</v>
      </c>
      <c r="CZ206" s="194" t="s">
        <v>324</v>
      </c>
      <c r="DA206" s="195">
        <v>0.11</v>
      </c>
      <c r="DB206" s="195">
        <v>0.52</v>
      </c>
      <c r="DC206" s="195">
        <v>0</v>
      </c>
    </row>
    <row r="207" spans="81:107">
      <c r="CC207" t="str">
        <f t="shared" ref="CC207:CC212" si="5">+D16</f>
        <v>UREA 46:0:0</v>
      </c>
      <c r="CD207" s="191">
        <f t="shared" ref="CD207:CD212" si="6">+F16</f>
        <v>210</v>
      </c>
      <c r="CE207" t="s">
        <v>16</v>
      </c>
      <c r="CF207" s="192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192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192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96.600000000000009</v>
      </c>
      <c r="CJ207">
        <f t="shared" si="4"/>
        <v>0</v>
      </c>
      <c r="CK207">
        <f t="shared" si="4"/>
        <v>0</v>
      </c>
      <c r="CL207"/>
      <c r="CM207"/>
      <c r="CN207" s="193" t="str">
        <f t="shared" ref="CN207:CN212" si="10">D16</f>
        <v>UREA 46:0:0</v>
      </c>
      <c r="CO207" s="191">
        <f t="shared" ref="CO207:CO212" si="11">+F16</f>
        <v>210</v>
      </c>
      <c r="CP207" t="s">
        <v>16</v>
      </c>
      <c r="CQ207" s="192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192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192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96.600000000000009</v>
      </c>
      <c r="CU207">
        <f t="shared" ref="CU207:CU212" si="16">CO207*CR207</f>
        <v>0</v>
      </c>
      <c r="CV207">
        <f t="shared" ref="CV207:CV212" si="17">CO207*CS207</f>
        <v>0</v>
      </c>
      <c r="CZ207" s="194" t="s">
        <v>305</v>
      </c>
      <c r="DA207" s="195">
        <v>0.12</v>
      </c>
      <c r="DB207" s="195">
        <v>0.52</v>
      </c>
      <c r="DC207" s="195">
        <v>0</v>
      </c>
    </row>
    <row r="208" spans="81:107">
      <c r="CC208" t="str">
        <f t="shared" si="5"/>
        <v>MAP 11:52:0</v>
      </c>
      <c r="CD208" s="191">
        <f t="shared" si="6"/>
        <v>100</v>
      </c>
      <c r="CE208" t="s">
        <v>16</v>
      </c>
      <c r="CF208" s="192">
        <f t="shared" si="7"/>
        <v>0.11</v>
      </c>
      <c r="CG208" s="192">
        <f t="shared" si="8"/>
        <v>0.52</v>
      </c>
      <c r="CH208" s="192">
        <f t="shared" si="9"/>
        <v>0</v>
      </c>
      <c r="CI208">
        <f t="shared" ref="CI208:CI212" si="18">$CD208*CF208</f>
        <v>11</v>
      </c>
      <c r="CJ208">
        <f t="shared" si="4"/>
        <v>52</v>
      </c>
      <c r="CK208">
        <f t="shared" si="4"/>
        <v>0</v>
      </c>
      <c r="CL208"/>
      <c r="CM208"/>
      <c r="CN208" s="193" t="str">
        <f t="shared" si="10"/>
        <v>MAP 11:52:0</v>
      </c>
      <c r="CO208" s="191">
        <f t="shared" si="11"/>
        <v>100</v>
      </c>
      <c r="CP208" t="s">
        <v>16</v>
      </c>
      <c r="CQ208" s="192">
        <f t="shared" si="12"/>
        <v>0.11</v>
      </c>
      <c r="CR208" s="192">
        <f t="shared" si="13"/>
        <v>0.52</v>
      </c>
      <c r="CS208" s="192">
        <f t="shared" si="14"/>
        <v>0</v>
      </c>
      <c r="CT208">
        <f t="shared" si="15"/>
        <v>11</v>
      </c>
      <c r="CU208">
        <f t="shared" si="16"/>
        <v>52</v>
      </c>
      <c r="CV208">
        <f t="shared" si="17"/>
        <v>0</v>
      </c>
      <c r="CZ208" s="186" t="s">
        <v>306</v>
      </c>
      <c r="DA208" s="195">
        <v>0.46</v>
      </c>
      <c r="DB208" s="195">
        <v>0</v>
      </c>
      <c r="DC208" s="195">
        <v>0</v>
      </c>
    </row>
    <row r="209" spans="81:107">
      <c r="CC209">
        <f t="shared" si="5"/>
        <v>0</v>
      </c>
      <c r="CD209" s="191">
        <f t="shared" si="6"/>
        <v>0</v>
      </c>
      <c r="CE209" t="s">
        <v>16</v>
      </c>
      <c r="CF209" s="192" t="str">
        <f t="shared" si="7"/>
        <v>0%</v>
      </c>
      <c r="CG209" s="192" t="str">
        <f t="shared" si="8"/>
        <v>0%</v>
      </c>
      <c r="CH209" s="192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93">
        <f t="shared" si="10"/>
        <v>0</v>
      </c>
      <c r="CO209" s="191">
        <f t="shared" si="11"/>
        <v>0</v>
      </c>
      <c r="CP209" t="s">
        <v>16</v>
      </c>
      <c r="CQ209" s="192" t="str">
        <f t="shared" si="12"/>
        <v>0%</v>
      </c>
      <c r="CR209" s="192" t="str">
        <f t="shared" si="13"/>
        <v>0%</v>
      </c>
      <c r="CS209" s="192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186" t="s">
        <v>325</v>
      </c>
      <c r="DA209" s="195">
        <v>0.27</v>
      </c>
      <c r="DB209" s="195">
        <v>0</v>
      </c>
      <c r="DC209" s="195">
        <v>0</v>
      </c>
    </row>
    <row r="210" spans="81:107">
      <c r="CC210">
        <f t="shared" si="5"/>
        <v>0</v>
      </c>
      <c r="CD210" s="191">
        <f t="shared" si="6"/>
        <v>0</v>
      </c>
      <c r="CE210" t="s">
        <v>16</v>
      </c>
      <c r="CF210" s="192" t="str">
        <f t="shared" si="7"/>
        <v>0%</v>
      </c>
      <c r="CG210" s="192" t="str">
        <f t="shared" si="8"/>
        <v>0%</v>
      </c>
      <c r="CH210" s="192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93">
        <f t="shared" si="10"/>
        <v>0</v>
      </c>
      <c r="CO210" s="191">
        <f t="shared" si="11"/>
        <v>0</v>
      </c>
      <c r="CP210" t="s">
        <v>16</v>
      </c>
      <c r="CQ210" s="192" t="str">
        <f t="shared" si="12"/>
        <v>0%</v>
      </c>
      <c r="CR210" s="192" t="str">
        <f t="shared" si="13"/>
        <v>0%</v>
      </c>
      <c r="CS210" s="192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194" t="s">
        <v>326</v>
      </c>
      <c r="DA210" s="196">
        <v>0.33500000000000002</v>
      </c>
      <c r="DB210" s="195">
        <v>0</v>
      </c>
      <c r="DC210" s="195">
        <v>0</v>
      </c>
    </row>
    <row r="211" spans="81:107">
      <c r="CC211" t="str">
        <f t="shared" si="5"/>
        <v>NPK 8:16:24</v>
      </c>
      <c r="CD211" s="191">
        <f t="shared" si="6"/>
        <v>0</v>
      </c>
      <c r="CE211" t="s">
        <v>16</v>
      </c>
      <c r="CF211" s="192">
        <f t="shared" ref="CF211:CH212" si="19">+P20</f>
        <v>0.08</v>
      </c>
      <c r="CG211" s="192">
        <f t="shared" si="19"/>
        <v>0.16</v>
      </c>
      <c r="CH211" s="192">
        <f t="shared" si="19"/>
        <v>0.24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93" t="str">
        <f t="shared" si="10"/>
        <v>NPK 8:16:24</v>
      </c>
      <c r="CO211" s="191">
        <f t="shared" si="11"/>
        <v>0</v>
      </c>
      <c r="CP211" t="s">
        <v>16</v>
      </c>
      <c r="CQ211" s="197">
        <f t="shared" ref="CQ211:CS212" si="20">+P20</f>
        <v>0.08</v>
      </c>
      <c r="CR211" s="197">
        <f t="shared" si="20"/>
        <v>0.16</v>
      </c>
      <c r="CS211" s="197">
        <f t="shared" si="20"/>
        <v>0.24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191">
        <f t="shared" si="6"/>
        <v>0</v>
      </c>
      <c r="CE212" t="s">
        <v>16</v>
      </c>
      <c r="CF212" s="192">
        <f t="shared" si="19"/>
        <v>0</v>
      </c>
      <c r="CG212" s="192">
        <f t="shared" si="19"/>
        <v>0</v>
      </c>
      <c r="CH212" s="192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93">
        <f t="shared" si="10"/>
        <v>0</v>
      </c>
      <c r="CO212" s="191">
        <f t="shared" si="11"/>
        <v>0</v>
      </c>
      <c r="CP212" t="s">
        <v>16</v>
      </c>
      <c r="CQ212" s="197">
        <f t="shared" si="20"/>
        <v>0</v>
      </c>
      <c r="CR212" s="197">
        <f t="shared" si="20"/>
        <v>0</v>
      </c>
      <c r="CS212" s="197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327</v>
      </c>
      <c r="CD213" s="191">
        <f>+F14/1000</f>
        <v>0</v>
      </c>
      <c r="CE213" t="s">
        <v>2</v>
      </c>
      <c r="CF213" s="198">
        <v>6.4999999999999997E-3</v>
      </c>
      <c r="CG213" s="199">
        <v>3.0000000000000001E-3</v>
      </c>
      <c r="CH213" s="19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327</v>
      </c>
      <c r="CO213" s="191">
        <f>+F14/1000</f>
        <v>0</v>
      </c>
      <c r="CP213" t="s">
        <v>2</v>
      </c>
      <c r="CQ213" s="198">
        <v>6.4999999999999997E-3</v>
      </c>
      <c r="CR213" s="199">
        <v>3.0000000000000001E-3</v>
      </c>
      <c r="CS213" s="19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328</v>
      </c>
      <c r="CD214" s="200">
        <f>+E14</f>
        <v>5</v>
      </c>
      <c r="CE214" s="201" t="s">
        <v>329</v>
      </c>
      <c r="CF214"/>
      <c r="CG214"/>
      <c r="CH214"/>
      <c r="CI214"/>
      <c r="CJ214"/>
      <c r="CK214"/>
      <c r="CL214"/>
      <c r="CM214"/>
      <c r="CN214" t="s">
        <v>328</v>
      </c>
      <c r="CO214" s="200">
        <f>+E14</f>
        <v>5</v>
      </c>
      <c r="CP214" s="201" t="s">
        <v>329</v>
      </c>
      <c r="CQ214"/>
      <c r="CR214"/>
      <c r="CS214"/>
      <c r="CT214"/>
      <c r="CU214"/>
      <c r="CV214"/>
    </row>
    <row r="215" spans="81:107">
      <c r="CC215" t="s">
        <v>206</v>
      </c>
      <c r="CD215"/>
      <c r="CE215"/>
      <c r="CF215"/>
      <c r="CG215"/>
      <c r="CH215"/>
      <c r="CI215">
        <f>SUM(CI206:CI214)</f>
        <v>145.10000000000002</v>
      </c>
      <c r="CJ215">
        <f>SUM(CJ206:CJ214)</f>
        <v>89.5</v>
      </c>
      <c r="CK215">
        <f>SUM(CK206:CK214)</f>
        <v>37.5</v>
      </c>
      <c r="CL215"/>
      <c r="CM215"/>
      <c r="CN215" t="s">
        <v>206</v>
      </c>
      <c r="CO215"/>
      <c r="CP215"/>
      <c r="CQ215"/>
      <c r="CR215"/>
      <c r="CS215"/>
      <c r="CT215">
        <f>SUM(CT206:CT214)</f>
        <v>145.10000000000002</v>
      </c>
      <c r="CU215">
        <f>SUM(CU206:CU214)</f>
        <v>89.5</v>
      </c>
      <c r="CV215">
        <f>SUM(CV206:CV214)</f>
        <v>37.5</v>
      </c>
    </row>
    <row r="216" spans="81:107">
      <c r="CC216" s="202" t="s">
        <v>367</v>
      </c>
      <c r="CD216" s="203">
        <f>+F8/1000</f>
        <v>3.5</v>
      </c>
      <c r="CE216" t="s">
        <v>2</v>
      </c>
      <c r="CF216"/>
      <c r="CG216"/>
      <c r="CH216"/>
      <c r="CI216"/>
      <c r="CJ216"/>
      <c r="CK216"/>
      <c r="CL216"/>
      <c r="CM216"/>
      <c r="CN216" s="202" t="s">
        <v>367</v>
      </c>
      <c r="CO216" s="204">
        <f>+CD216</f>
        <v>3.5</v>
      </c>
      <c r="CP216" t="s">
        <v>2</v>
      </c>
      <c r="CQ216"/>
      <c r="CR216"/>
      <c r="CS216"/>
      <c r="CT216"/>
      <c r="CU216"/>
      <c r="CV216"/>
    </row>
    <row r="217" spans="81:107">
      <c r="CC217" s="202" t="s">
        <v>331</v>
      </c>
      <c r="CD217"/>
      <c r="CE217" t="s">
        <v>332</v>
      </c>
      <c r="CF217"/>
      <c r="CG217"/>
      <c r="CH217"/>
      <c r="CI217" s="205">
        <v>41</v>
      </c>
      <c r="CJ217" s="205">
        <v>21</v>
      </c>
      <c r="CK217" s="205">
        <v>10</v>
      </c>
      <c r="CL217"/>
      <c r="CM217"/>
      <c r="CN217" s="202" t="s">
        <v>331</v>
      </c>
      <c r="CO217"/>
      <c r="CP217" t="s">
        <v>332</v>
      </c>
      <c r="CQ217"/>
      <c r="CR217"/>
      <c r="CS217"/>
      <c r="CT217" s="205">
        <v>55</v>
      </c>
      <c r="CU217" s="205">
        <v>28</v>
      </c>
      <c r="CV217" s="205">
        <v>50</v>
      </c>
    </row>
    <row r="218" spans="81:107" ht="15" thickBot="1">
      <c r="CC218" s="202" t="s">
        <v>331</v>
      </c>
      <c r="CD218"/>
      <c r="CE218" t="s">
        <v>16</v>
      </c>
      <c r="CF218"/>
      <c r="CG218"/>
      <c r="CH218"/>
      <c r="CI218">
        <f>CD216*CI217</f>
        <v>143.5</v>
      </c>
      <c r="CJ218">
        <f>CD216*CJ217</f>
        <v>73.5</v>
      </c>
      <c r="CK218">
        <f>CD216*CK217</f>
        <v>35</v>
      </c>
      <c r="CL218"/>
      <c r="CM218"/>
      <c r="CN218" s="202" t="s">
        <v>331</v>
      </c>
      <c r="CO218"/>
      <c r="CP218" t="s">
        <v>16</v>
      </c>
      <c r="CQ218"/>
      <c r="CR218"/>
      <c r="CS218"/>
      <c r="CT218">
        <f>CO216*CT217</f>
        <v>192.5</v>
      </c>
      <c r="CU218">
        <f>CO216*CU217</f>
        <v>98</v>
      </c>
      <c r="CV218">
        <f>CO216*CV217</f>
        <v>175</v>
      </c>
    </row>
    <row r="219" spans="81:107" ht="16.5" thickTop="1" thickBot="1">
      <c r="CC219" s="206" t="s">
        <v>333</v>
      </c>
      <c r="CD219" s="207"/>
      <c r="CE219" s="207" t="s">
        <v>16</v>
      </c>
      <c r="CF219" s="207"/>
      <c r="CG219" s="207"/>
      <c r="CH219" s="207"/>
      <c r="CI219" s="208">
        <f>SUM(CI215:CI215)-CI218</f>
        <v>1.6000000000000227</v>
      </c>
      <c r="CJ219" s="209">
        <f>CJ215-CJ218</f>
        <v>16</v>
      </c>
      <c r="CK219" s="210">
        <f>CK215-CK218</f>
        <v>2.5</v>
      </c>
      <c r="CL219"/>
      <c r="CM219"/>
      <c r="CN219" s="206" t="s">
        <v>333</v>
      </c>
      <c r="CO219" s="207"/>
      <c r="CP219" s="207" t="s">
        <v>16</v>
      </c>
      <c r="CQ219" s="207"/>
      <c r="CR219" s="207"/>
      <c r="CS219" s="207"/>
      <c r="CT219" s="207">
        <f>SUM(CT215:CT215)-CT218</f>
        <v>-47.399999999999977</v>
      </c>
      <c r="CU219" s="210">
        <f>CU215-CU218</f>
        <v>-8.5</v>
      </c>
      <c r="CV219" s="210">
        <f>CV215-CV218</f>
        <v>-137.5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235">
        <f>Resursi!D25</f>
        <v>73.91304347826086</v>
      </c>
      <c r="CJ221" s="233">
        <f>Resursi!E25</f>
        <v>90.168896321070235</v>
      </c>
      <c r="CK221" s="233">
        <f>Resursi!F25</f>
        <v>42.600936454849503</v>
      </c>
      <c r="CL221"/>
      <c r="CM221"/>
      <c r="CN221" t="s">
        <v>5</v>
      </c>
      <c r="CO221"/>
      <c r="CP221"/>
      <c r="CQ221"/>
      <c r="CR221"/>
      <c r="CS221"/>
      <c r="CT221" s="212">
        <f>+CI221</f>
        <v>73.91304347826086</v>
      </c>
      <c r="CU221" s="212">
        <f t="shared" ref="CU221:CV221" si="21">+CJ221</f>
        <v>90.168896321070235</v>
      </c>
      <c r="CV221" s="212">
        <f t="shared" si="21"/>
        <v>42.600936454849503</v>
      </c>
    </row>
    <row r="222" spans="81:107" ht="15">
      <c r="CC222" s="190" t="s">
        <v>334</v>
      </c>
      <c r="CD222" s="213">
        <f>SUMPRODUCT(CI221:CK221,CI215:CK215)</f>
        <v>20392.433946488294</v>
      </c>
      <c r="CE222"/>
      <c r="CF222"/>
      <c r="CG222"/>
      <c r="CH222"/>
      <c r="CI222"/>
      <c r="CJ222"/>
      <c r="CK222"/>
      <c r="CL222"/>
      <c r="CM222"/>
      <c r="CN222" s="190" t="s">
        <v>334</v>
      </c>
      <c r="CO222" s="213">
        <f>SUMPRODUCT(CT221:CV221,CT215:CV215)</f>
        <v>20392.433946488294</v>
      </c>
      <c r="CP222"/>
      <c r="CQ222"/>
      <c r="CR222"/>
      <c r="CS222"/>
      <c r="CT222"/>
      <c r="CU222"/>
      <c r="CV222"/>
    </row>
    <row r="223" spans="81:107" ht="15.75">
      <c r="CC223" s="214" t="s">
        <v>335</v>
      </c>
      <c r="CD223" s="215">
        <f>CI218*CI221+CJ218*CJ221+CK218*CK221</f>
        <v>18724.968394648829</v>
      </c>
      <c r="CE223"/>
      <c r="CF223"/>
      <c r="CG223"/>
      <c r="CH223"/>
      <c r="CI223"/>
      <c r="CJ223"/>
      <c r="CK223"/>
      <c r="CL223"/>
      <c r="CM223"/>
      <c r="CN223" s="214" t="s">
        <v>335</v>
      </c>
      <c r="CO223" s="215">
        <f>CT218*CT221+CU218*CU221+CV218*CV221</f>
        <v>30519.976588628761</v>
      </c>
      <c r="CP223"/>
      <c r="CQ223"/>
      <c r="CR223"/>
      <c r="CS223"/>
      <c r="CT223"/>
      <c r="CU223"/>
      <c r="CV223"/>
    </row>
    <row r="224" spans="81:107" ht="30">
      <c r="CC224" s="216" t="s">
        <v>336</v>
      </c>
      <c r="CD224" s="217">
        <f>CJ219*CJ221+CK219*CK221</f>
        <v>1549.2046822742475</v>
      </c>
      <c r="CE224"/>
      <c r="CF224"/>
      <c r="CG224"/>
      <c r="CH224"/>
      <c r="CI224"/>
      <c r="CJ224"/>
      <c r="CK224"/>
      <c r="CL224"/>
      <c r="CM224"/>
      <c r="CN224" s="216" t="s">
        <v>336</v>
      </c>
      <c r="CO224" s="217">
        <f>CU219*CU221+CV219*CV221</f>
        <v>-6624.0643812709031</v>
      </c>
      <c r="CP224"/>
      <c r="CQ224"/>
      <c r="CR224"/>
      <c r="CS224"/>
      <c r="CT224"/>
      <c r="CU224"/>
      <c r="CV224"/>
    </row>
  </sheetData>
  <sheetProtection password="8730" sheet="1" objects="1" scenarios="1"/>
  <protectedRanges>
    <protectedRange sqref="P20:R21" name="Range9"/>
    <protectedRange sqref="L4:L46" name="Range4_2"/>
    <protectedRange sqref="F8:I9" name="Range10"/>
    <protectedRange sqref="D101:D102" name="Range7_1"/>
    <protectedRange sqref="D98:D99" name="Range6_1"/>
    <protectedRange sqref="I96:J96" name="Range5_1"/>
    <protectedRange sqref="F96:G96" name="Range4_1"/>
    <protectedRange sqref="D12:I44" name="Range3_1"/>
    <protectedRange sqref="F4" name="Range1_1"/>
  </protectedRanges>
  <conditionalFormatting sqref="P5">
    <cfRule type="cellIs" dxfId="11" priority="6" operator="lessThan">
      <formula>0</formula>
    </cfRule>
  </conditionalFormatting>
  <conditionalFormatting sqref="Q5">
    <cfRule type="cellIs" dxfId="10" priority="5" operator="lessThan">
      <formula>0</formula>
    </cfRule>
  </conditionalFormatting>
  <conditionalFormatting sqref="R5">
    <cfRule type="cellIs" dxfId="9" priority="4" operator="lessThan">
      <formula>0</formula>
    </cfRule>
  </conditionalFormatting>
  <conditionalFormatting sqref="P7">
    <cfRule type="cellIs" dxfId="8" priority="3" operator="lessThan">
      <formula>0</formula>
    </cfRule>
  </conditionalFormatting>
  <conditionalFormatting sqref="Q7">
    <cfRule type="cellIs" dxfId="7" priority="2" operator="lessThan">
      <formula>0</formula>
    </cfRule>
  </conditionalFormatting>
  <conditionalFormatting sqref="R7">
    <cfRule type="cellIs" dxfId="6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3" orientation="portrait" r:id="rId1"/>
  <rowBreaks count="1" manualBreakCount="1">
    <brk id="46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Uvod</vt:lpstr>
      <vt:lpstr>Rezime</vt:lpstr>
      <vt:lpstr>Resursi</vt:lpstr>
      <vt:lpstr>1.Kukuruz</vt:lpstr>
      <vt:lpstr>2.Pšenica</vt:lpstr>
      <vt:lpstr>3.Ječam</vt:lpstr>
      <vt:lpstr>4.Soja</vt:lpstr>
      <vt:lpstr>5.Suncokret</vt:lpstr>
      <vt:lpstr>6.Ulj.repica</vt:lpstr>
      <vt:lpstr>7.Š.Repa</vt:lpstr>
      <vt:lpstr>PLAN</vt:lpstr>
      <vt:lpstr>Uvod!_ftn1</vt:lpstr>
      <vt:lpstr>Uvod!_ftnref1</vt:lpstr>
      <vt:lpstr>'1.Kukuruz'!Print_Area</vt:lpstr>
      <vt:lpstr>'2.Pšenica'!Print_Area</vt:lpstr>
      <vt:lpstr>'3.Ječam'!Print_Area</vt:lpstr>
      <vt:lpstr>'4.Soja'!Print_Area</vt:lpstr>
      <vt:lpstr>'5.Suncokret'!Print_Area</vt:lpstr>
      <vt:lpstr>'6.Ulj.repica'!Print_Area</vt:lpstr>
      <vt:lpstr>'7.Š.Repa'!Print_Area</vt:lpstr>
      <vt:lpstr>PLAN!Print_Area</vt:lpstr>
      <vt:lpstr>Resursi!Print_Area</vt:lpstr>
      <vt:lpstr>Rezime!Print_Area</vt:lpstr>
      <vt:lpstr>Uvod!Print_Area</vt:lpstr>
    </vt:vector>
  </TitlesOfParts>
  <Company>Univerzitet u Novom Sadu, Ekonomski fakultet u Subotici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Obrasci kalkulacija Bruto marže</dc:title>
  <dc:creator>Rade Popovic</dc:creator>
  <cp:lastModifiedBy>Korisnik</cp:lastModifiedBy>
  <cp:lastPrinted>2017-10-27T21:01:50Z</cp:lastPrinted>
  <dcterms:created xsi:type="dcterms:W3CDTF">2011-07-08T13:10:46Z</dcterms:created>
  <dcterms:modified xsi:type="dcterms:W3CDTF">2017-12-01T08:51:55Z</dcterms:modified>
</cp:coreProperties>
</file>